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comments3.xml" ContentType="application/vnd.openxmlformats-officedocument.spreadsheetml.comments+xml"/>
  <Override PartName="/xl/threadedComments/threadedComment3.xml" ContentType="application/vnd.ms-excel.threadedcomments+xml"/>
  <Override PartName="/xl/comments4.xml" ContentType="application/vnd.openxmlformats-officedocument.spreadsheetml.comments+xml"/>
  <Override PartName="/xl/threadedComments/threadedComment4.xml" ContentType="application/vnd.ms-excel.threadedcomments+xml"/>
  <Override PartName="/xl/comments5.xml" ContentType="application/vnd.openxmlformats-officedocument.spreadsheetml.comments+xml"/>
  <Override PartName="/xl/threadedComments/threadedComment5.xml" ContentType="application/vnd.ms-excel.threadedcomments+xml"/>
  <Override PartName="/xl/comments6.xml" ContentType="application/vnd.openxmlformats-officedocument.spreadsheetml.comments+xml"/>
  <Override PartName="/xl/threadedComments/threadedComment6.xml" ContentType="application/vnd.ms-excel.threadedcomments+xml"/>
  <Override PartName="/xl/drawings/drawing1.xml" ContentType="application/vnd.openxmlformats-officedocument.drawing+xml"/>
  <Override PartName="/xl/comments7.xml" ContentType="application/vnd.openxmlformats-officedocument.spreadsheetml.comments+xml"/>
  <Override PartName="/xl/threadedComments/threadedComment7.xml" ContentType="application/vnd.ms-excel.threadedcomments+xml"/>
  <Override PartName="/xl/comments8.xml" ContentType="application/vnd.openxmlformats-officedocument.spreadsheetml.comments+xml"/>
  <Override PartName="/xl/threadedComments/threadedComment8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2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uemaxwell/Documents/Zero Waste BC/MV PTAC/Residuals options financial analysis/"/>
    </mc:Choice>
  </mc:AlternateContent>
  <xr:revisionPtr revIDLastSave="0" documentId="13_ncr:1_{C33EC6FB-7748-1943-B537-0AA680CACBD3}" xr6:coauthVersionLast="47" xr6:coauthVersionMax="47" xr10:uidLastSave="{00000000-0000-0000-0000-000000000000}"/>
  <bookViews>
    <workbookView xWindow="-1720" yWindow="-19520" windowWidth="36160" windowHeight="19180" xr2:uid="{5C19F91B-A903-204C-8AF3-7344B8B09665}"/>
  </bookViews>
  <sheets>
    <sheet name="Base Scenarios" sheetId="1" r:id="rId1"/>
    <sheet name="-3%" sheetId="4" r:id="rId2"/>
    <sheet name="-4%" sheetId="5" r:id="rId3"/>
    <sheet name="higher capital" sheetId="6" r:id="rId4"/>
    <sheet name="Tipping fees per MV not incl TS" sheetId="7" r:id="rId5"/>
    <sheet name="Tipping fees per MV inc TS" sheetId="8" r:id="rId6"/>
    <sheet name="Disposal costs" sheetId="2" r:id="rId7"/>
    <sheet name="Tipping fee per new incin cont" sheetId="9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0" i="9" l="1"/>
  <c r="H145" i="9"/>
  <c r="H144" i="9"/>
  <c r="H139" i="9"/>
  <c r="K125" i="9"/>
  <c r="I125" i="9"/>
  <c r="J125" i="9" s="1"/>
  <c r="F125" i="9"/>
  <c r="M115" i="9"/>
  <c r="K115" i="9"/>
  <c r="L115" i="9" s="1"/>
  <c r="F115" i="9"/>
  <c r="I115" i="9" s="1"/>
  <c r="J115" i="9" s="1"/>
  <c r="J104" i="9"/>
  <c r="I104" i="9"/>
  <c r="I100" i="9"/>
  <c r="I94" i="9"/>
  <c r="J94" i="9" s="1"/>
  <c r="H90" i="9"/>
  <c r="I83" i="9"/>
  <c r="J83" i="9" s="1"/>
  <c r="I79" i="9"/>
  <c r="H79" i="9"/>
  <c r="H100" i="9" s="1"/>
  <c r="H121" i="9" s="1"/>
  <c r="I73" i="9"/>
  <c r="J73" i="9" s="1"/>
  <c r="H70" i="9"/>
  <c r="H69" i="9"/>
  <c r="H68" i="9"/>
  <c r="I62" i="9"/>
  <c r="J62" i="9" s="1"/>
  <c r="F62" i="9"/>
  <c r="H59" i="9"/>
  <c r="H58" i="9"/>
  <c r="I53" i="9"/>
  <c r="J53" i="9" s="1"/>
  <c r="I49" i="9"/>
  <c r="H48" i="9"/>
  <c r="H89" i="9" s="1"/>
  <c r="H110" i="9" s="1"/>
  <c r="E42" i="9"/>
  <c r="K40" i="9"/>
  <c r="L40" i="9" s="1"/>
  <c r="M40" i="9" s="1"/>
  <c r="N40" i="9" s="1"/>
  <c r="O40" i="9" s="1"/>
  <c r="P40" i="9" s="1"/>
  <c r="Q40" i="9" s="1"/>
  <c r="R40" i="9" s="1"/>
  <c r="J40" i="9"/>
  <c r="I40" i="9"/>
  <c r="K37" i="9"/>
  <c r="J37" i="9"/>
  <c r="E31" i="9"/>
  <c r="I29" i="9"/>
  <c r="J29" i="9" s="1"/>
  <c r="K29" i="9" s="1"/>
  <c r="L29" i="9" s="1"/>
  <c r="M29" i="9" s="1"/>
  <c r="N29" i="9" s="1"/>
  <c r="O29" i="9" s="1"/>
  <c r="P29" i="9" s="1"/>
  <c r="Q29" i="9" s="1"/>
  <c r="R29" i="9" s="1"/>
  <c r="H24" i="9"/>
  <c r="H35" i="9" s="1"/>
  <c r="E21" i="9"/>
  <c r="I19" i="9"/>
  <c r="J19" i="9" s="1"/>
  <c r="K19" i="9" s="1"/>
  <c r="L19" i="9" s="1"/>
  <c r="M19" i="9" s="1"/>
  <c r="N19" i="9" s="1"/>
  <c r="O19" i="9" s="1"/>
  <c r="P19" i="9" s="1"/>
  <c r="Q19" i="9" s="1"/>
  <c r="R19" i="9" s="1"/>
  <c r="J10" i="9"/>
  <c r="K10" i="9" s="1"/>
  <c r="L10" i="9" s="1"/>
  <c r="M10" i="9" s="1"/>
  <c r="N10" i="9" s="1"/>
  <c r="O10" i="9" s="1"/>
  <c r="P10" i="9" s="1"/>
  <c r="Q10" i="9" s="1"/>
  <c r="R10" i="9" s="1"/>
  <c r="F10" i="9"/>
  <c r="H10" i="9" s="1"/>
  <c r="E10" i="9"/>
  <c r="F9" i="9"/>
  <c r="E9" i="9"/>
  <c r="D8" i="9"/>
  <c r="C8" i="9"/>
  <c r="B8" i="9"/>
  <c r="B13" i="9" s="1"/>
  <c r="B4" i="9" s="1"/>
  <c r="R7" i="9"/>
  <c r="Q7" i="9"/>
  <c r="P7" i="9"/>
  <c r="O7" i="9"/>
  <c r="N7" i="9"/>
  <c r="M7" i="9"/>
  <c r="L7" i="9"/>
  <c r="K7" i="9"/>
  <c r="K58" i="9" s="1"/>
  <c r="J7" i="9"/>
  <c r="J49" i="9" s="1"/>
  <c r="H7" i="9"/>
  <c r="F7" i="9"/>
  <c r="F6" i="9"/>
  <c r="H6" i="9" s="1"/>
  <c r="C6" i="9"/>
  <c r="C13" i="9" s="1"/>
  <c r="C4" i="9" s="1"/>
  <c r="I3" i="9"/>
  <c r="K2" i="9"/>
  <c r="K79" i="9" s="1"/>
  <c r="J2" i="9"/>
  <c r="J100" i="9" s="1"/>
  <c r="G139" i="1"/>
  <c r="G138" i="1"/>
  <c r="G137" i="1"/>
  <c r="G136" i="1"/>
  <c r="G139" i="8"/>
  <c r="G138" i="8"/>
  <c r="G137" i="8"/>
  <c r="G136" i="8"/>
  <c r="G139" i="7"/>
  <c r="G138" i="7"/>
  <c r="G137" i="7"/>
  <c r="G136" i="7"/>
  <c r="G139" i="6"/>
  <c r="G138" i="6"/>
  <c r="G137" i="6"/>
  <c r="G136" i="6"/>
  <c r="G139" i="4"/>
  <c r="G138" i="4"/>
  <c r="G137" i="4"/>
  <c r="G136" i="4"/>
  <c r="G137" i="5"/>
  <c r="G136" i="5"/>
  <c r="G139" i="5"/>
  <c r="G138" i="5"/>
  <c r="H145" i="8"/>
  <c r="H144" i="8"/>
  <c r="H139" i="8"/>
  <c r="J125" i="8"/>
  <c r="K125" i="8" s="1"/>
  <c r="I125" i="8"/>
  <c r="F125" i="8"/>
  <c r="H111" i="8"/>
  <c r="I111" i="8" s="1"/>
  <c r="H110" i="8"/>
  <c r="I104" i="8"/>
  <c r="I100" i="8"/>
  <c r="H100" i="8"/>
  <c r="H121" i="8" s="1"/>
  <c r="I121" i="8" s="1"/>
  <c r="I94" i="8"/>
  <c r="H91" i="8"/>
  <c r="H112" i="8" s="1"/>
  <c r="I90" i="8"/>
  <c r="H90" i="8"/>
  <c r="H89" i="8"/>
  <c r="K83" i="8"/>
  <c r="J83" i="8"/>
  <c r="I83" i="8"/>
  <c r="I79" i="8"/>
  <c r="H79" i="8"/>
  <c r="I73" i="8"/>
  <c r="J73" i="8" s="1"/>
  <c r="H70" i="8"/>
  <c r="I69" i="8"/>
  <c r="H69" i="8"/>
  <c r="H68" i="8"/>
  <c r="I62" i="8"/>
  <c r="J62" i="8" s="1"/>
  <c r="F62" i="8"/>
  <c r="F115" i="8" s="1"/>
  <c r="I115" i="8" s="1"/>
  <c r="H59" i="8"/>
  <c r="H58" i="8"/>
  <c r="N53" i="8"/>
  <c r="M53" i="8"/>
  <c r="L53" i="8"/>
  <c r="K53" i="8"/>
  <c r="I53" i="8"/>
  <c r="J53" i="8" s="1"/>
  <c r="I49" i="8"/>
  <c r="E42" i="8"/>
  <c r="L37" i="8"/>
  <c r="K37" i="8"/>
  <c r="J37" i="8"/>
  <c r="E31" i="8"/>
  <c r="K29" i="8"/>
  <c r="L29" i="8" s="1"/>
  <c r="M29" i="8" s="1"/>
  <c r="N29" i="8" s="1"/>
  <c r="O29" i="8" s="1"/>
  <c r="P29" i="8" s="1"/>
  <c r="Q29" i="8" s="1"/>
  <c r="R29" i="8" s="1"/>
  <c r="J29" i="8"/>
  <c r="I29" i="8"/>
  <c r="H24" i="8"/>
  <c r="H35" i="8" s="1"/>
  <c r="E21" i="8"/>
  <c r="I19" i="8"/>
  <c r="D13" i="8"/>
  <c r="B13" i="8"/>
  <c r="E12" i="8"/>
  <c r="J10" i="8"/>
  <c r="K10" i="8" s="1"/>
  <c r="L10" i="8" s="1"/>
  <c r="M10" i="8" s="1"/>
  <c r="N10" i="8" s="1"/>
  <c r="O10" i="8" s="1"/>
  <c r="P10" i="8" s="1"/>
  <c r="Q10" i="8" s="1"/>
  <c r="R10" i="8" s="1"/>
  <c r="F10" i="8"/>
  <c r="H10" i="8" s="1"/>
  <c r="E10" i="8"/>
  <c r="G9" i="8"/>
  <c r="E9" i="8"/>
  <c r="H8" i="8"/>
  <c r="F8" i="8"/>
  <c r="D8" i="8"/>
  <c r="C8" i="8"/>
  <c r="B8" i="8"/>
  <c r="R7" i="8"/>
  <c r="Q7" i="8"/>
  <c r="P7" i="8"/>
  <c r="O7" i="8"/>
  <c r="N7" i="8"/>
  <c r="M7" i="8"/>
  <c r="L7" i="8"/>
  <c r="K7" i="8"/>
  <c r="J7" i="8"/>
  <c r="J58" i="8" s="1"/>
  <c r="F7" i="8"/>
  <c r="H7" i="8" s="1"/>
  <c r="G6" i="8"/>
  <c r="F6" i="8"/>
  <c r="F9" i="8" s="1"/>
  <c r="C6" i="8"/>
  <c r="C13" i="8" s="1"/>
  <c r="C4" i="8" s="1"/>
  <c r="D4" i="8"/>
  <c r="B4" i="8"/>
  <c r="I3" i="8"/>
  <c r="J3" i="8" s="1"/>
  <c r="J2" i="8"/>
  <c r="J49" i="8" s="1"/>
  <c r="K62" i="9" l="1"/>
  <c r="K73" i="9"/>
  <c r="L58" i="9"/>
  <c r="K53" i="9"/>
  <c r="F8" i="9"/>
  <c r="H8" i="9" s="1"/>
  <c r="E12" i="9"/>
  <c r="G9" i="9"/>
  <c r="K49" i="9"/>
  <c r="H80" i="9"/>
  <c r="H101" i="9" s="1"/>
  <c r="H122" i="9" s="1"/>
  <c r="K90" i="9"/>
  <c r="H111" i="9"/>
  <c r="I111" i="9" s="1"/>
  <c r="J90" i="9"/>
  <c r="I90" i="9"/>
  <c r="K94" i="9"/>
  <c r="K83" i="9"/>
  <c r="N115" i="9"/>
  <c r="L100" i="9"/>
  <c r="L69" i="9"/>
  <c r="K69" i="9"/>
  <c r="J3" i="9"/>
  <c r="G6" i="9"/>
  <c r="D13" i="9"/>
  <c r="D4" i="9" s="1"/>
  <c r="H91" i="9"/>
  <c r="J58" i="9"/>
  <c r="I69" i="9"/>
  <c r="L2" i="9"/>
  <c r="E13" i="9"/>
  <c r="K111" i="9"/>
  <c r="K121" i="9"/>
  <c r="J69" i="9"/>
  <c r="I121" i="9"/>
  <c r="J121" i="9"/>
  <c r="L37" i="9"/>
  <c r="L125" i="9"/>
  <c r="J79" i="9"/>
  <c r="K104" i="9"/>
  <c r="K100" i="9"/>
  <c r="I58" i="9"/>
  <c r="K3" i="8"/>
  <c r="K73" i="8"/>
  <c r="I40" i="8"/>
  <c r="J40" i="8" s="1"/>
  <c r="K40" i="8" s="1"/>
  <c r="L40" i="8" s="1"/>
  <c r="M40" i="8" s="1"/>
  <c r="N40" i="8" s="1"/>
  <c r="O40" i="8" s="1"/>
  <c r="P40" i="8" s="1"/>
  <c r="Q40" i="8" s="1"/>
  <c r="R40" i="8" s="1"/>
  <c r="J19" i="8"/>
  <c r="K19" i="8" s="1"/>
  <c r="L19" i="8" s="1"/>
  <c r="M19" i="8" s="1"/>
  <c r="N19" i="8" s="1"/>
  <c r="O19" i="8" s="1"/>
  <c r="P19" i="8" s="1"/>
  <c r="Q19" i="8" s="1"/>
  <c r="R19" i="8" s="1"/>
  <c r="K62" i="8"/>
  <c r="O53" i="8"/>
  <c r="M37" i="8"/>
  <c r="E13" i="8"/>
  <c r="L125" i="8"/>
  <c r="J69" i="8"/>
  <c r="J90" i="8"/>
  <c r="J112" i="8"/>
  <c r="J79" i="8"/>
  <c r="K2" i="8"/>
  <c r="K111" i="8"/>
  <c r="K90" i="8"/>
  <c r="J115" i="8"/>
  <c r="L83" i="8"/>
  <c r="J94" i="8"/>
  <c r="J104" i="8"/>
  <c r="K121" i="8"/>
  <c r="H80" i="8"/>
  <c r="H101" i="8" s="1"/>
  <c r="H122" i="8" s="1"/>
  <c r="H6" i="8"/>
  <c r="J111" i="8"/>
  <c r="J121" i="8"/>
  <c r="J100" i="8"/>
  <c r="K100" i="8"/>
  <c r="I58" i="8"/>
  <c r="H145" i="7"/>
  <c r="H144" i="7"/>
  <c r="H139" i="7"/>
  <c r="I125" i="7"/>
  <c r="J125" i="7" s="1"/>
  <c r="K125" i="7" s="1"/>
  <c r="F125" i="7"/>
  <c r="I104" i="7"/>
  <c r="I100" i="7"/>
  <c r="H100" i="7"/>
  <c r="H121" i="7" s="1"/>
  <c r="I121" i="7" s="1"/>
  <c r="I94" i="7"/>
  <c r="H90" i="7"/>
  <c r="I90" i="7" s="1"/>
  <c r="J83" i="7"/>
  <c r="I83" i="7"/>
  <c r="I79" i="7"/>
  <c r="H79" i="7"/>
  <c r="I73" i="7"/>
  <c r="J73" i="7" s="1"/>
  <c r="H69" i="7"/>
  <c r="I69" i="7" s="1"/>
  <c r="I62" i="7"/>
  <c r="J62" i="7" s="1"/>
  <c r="F62" i="7"/>
  <c r="F115" i="7" s="1"/>
  <c r="I115" i="7" s="1"/>
  <c r="J115" i="7" s="1"/>
  <c r="H59" i="7"/>
  <c r="H58" i="7"/>
  <c r="L53" i="7"/>
  <c r="M53" i="7" s="1"/>
  <c r="K53" i="7"/>
  <c r="I53" i="7"/>
  <c r="J53" i="7" s="1"/>
  <c r="I49" i="7"/>
  <c r="E42" i="7"/>
  <c r="I40" i="7"/>
  <c r="J40" i="7" s="1"/>
  <c r="K40" i="7" s="1"/>
  <c r="L40" i="7" s="1"/>
  <c r="M40" i="7" s="1"/>
  <c r="N40" i="7" s="1"/>
  <c r="O40" i="7" s="1"/>
  <c r="P40" i="7" s="1"/>
  <c r="Q40" i="7" s="1"/>
  <c r="R40" i="7" s="1"/>
  <c r="J37" i="7"/>
  <c r="E31" i="7"/>
  <c r="P29" i="7"/>
  <c r="Q29" i="7" s="1"/>
  <c r="R29" i="7" s="1"/>
  <c r="O29" i="7"/>
  <c r="I29" i="7"/>
  <c r="J29" i="7" s="1"/>
  <c r="K29" i="7" s="1"/>
  <c r="L29" i="7" s="1"/>
  <c r="M29" i="7" s="1"/>
  <c r="N29" i="7" s="1"/>
  <c r="H24" i="7"/>
  <c r="H35" i="7" s="1"/>
  <c r="E21" i="7"/>
  <c r="I19" i="7"/>
  <c r="J19" i="7" s="1"/>
  <c r="K19" i="7" s="1"/>
  <c r="L19" i="7" s="1"/>
  <c r="M19" i="7" s="1"/>
  <c r="N19" i="7" s="1"/>
  <c r="O19" i="7" s="1"/>
  <c r="P19" i="7" s="1"/>
  <c r="Q19" i="7" s="1"/>
  <c r="R19" i="7" s="1"/>
  <c r="D13" i="7"/>
  <c r="D4" i="7" s="1"/>
  <c r="J10" i="7"/>
  <c r="K10" i="7" s="1"/>
  <c r="L10" i="7" s="1"/>
  <c r="M10" i="7" s="1"/>
  <c r="N10" i="7" s="1"/>
  <c r="O10" i="7" s="1"/>
  <c r="P10" i="7" s="1"/>
  <c r="Q10" i="7" s="1"/>
  <c r="R10" i="7" s="1"/>
  <c r="H10" i="7"/>
  <c r="F10" i="7"/>
  <c r="E10" i="7"/>
  <c r="F9" i="7"/>
  <c r="E9" i="7"/>
  <c r="E12" i="7" s="1"/>
  <c r="D8" i="7"/>
  <c r="F8" i="7" s="1"/>
  <c r="H8" i="7" s="1"/>
  <c r="C8" i="7"/>
  <c r="C13" i="7" s="1"/>
  <c r="C4" i="7" s="1"/>
  <c r="B8" i="7"/>
  <c r="B13" i="7" s="1"/>
  <c r="B4" i="7" s="1"/>
  <c r="R7" i="7"/>
  <c r="Q7" i="7"/>
  <c r="P7" i="7"/>
  <c r="O7" i="7"/>
  <c r="N7" i="7"/>
  <c r="M7" i="7"/>
  <c r="L7" i="7"/>
  <c r="K7" i="7"/>
  <c r="J7" i="7"/>
  <c r="J58" i="7" s="1"/>
  <c r="F7" i="7"/>
  <c r="H7" i="7" s="1"/>
  <c r="H6" i="7"/>
  <c r="G6" i="7"/>
  <c r="F6" i="7"/>
  <c r="C6" i="7"/>
  <c r="I3" i="7"/>
  <c r="J3" i="7" s="1"/>
  <c r="J2" i="7"/>
  <c r="H145" i="6"/>
  <c r="H144" i="6"/>
  <c r="H139" i="6"/>
  <c r="F125" i="6"/>
  <c r="I125" i="6" s="1"/>
  <c r="J125" i="6" s="1"/>
  <c r="K125" i="6" s="1"/>
  <c r="I104" i="6"/>
  <c r="I100" i="6"/>
  <c r="H100" i="6"/>
  <c r="H121" i="6" s="1"/>
  <c r="I121" i="6" s="1"/>
  <c r="I94" i="6"/>
  <c r="J90" i="6"/>
  <c r="I90" i="6"/>
  <c r="H90" i="6"/>
  <c r="J83" i="6"/>
  <c r="I83" i="6"/>
  <c r="J79" i="6"/>
  <c r="I79" i="6"/>
  <c r="H79" i="6"/>
  <c r="K73" i="6"/>
  <c r="J73" i="6"/>
  <c r="I73" i="6"/>
  <c r="H70" i="6"/>
  <c r="J69" i="6"/>
  <c r="F62" i="6"/>
  <c r="F115" i="6" s="1"/>
  <c r="I115" i="6" s="1"/>
  <c r="H59" i="6"/>
  <c r="H58" i="6"/>
  <c r="I53" i="6"/>
  <c r="J53" i="6" s="1"/>
  <c r="K53" i="6" s="1"/>
  <c r="L53" i="6" s="1"/>
  <c r="H50" i="6"/>
  <c r="I49" i="6"/>
  <c r="H49" i="6"/>
  <c r="H69" i="6" s="1"/>
  <c r="H48" i="6"/>
  <c r="E42" i="6"/>
  <c r="J37" i="6"/>
  <c r="E31" i="6"/>
  <c r="I29" i="6"/>
  <c r="J29" i="6" s="1"/>
  <c r="K29" i="6" s="1"/>
  <c r="L29" i="6" s="1"/>
  <c r="M29" i="6" s="1"/>
  <c r="N29" i="6" s="1"/>
  <c r="O29" i="6" s="1"/>
  <c r="P29" i="6" s="1"/>
  <c r="Q29" i="6" s="1"/>
  <c r="R29" i="6" s="1"/>
  <c r="H24" i="6"/>
  <c r="H35" i="6" s="1"/>
  <c r="E21" i="6"/>
  <c r="L19" i="6"/>
  <c r="M19" i="6" s="1"/>
  <c r="N19" i="6" s="1"/>
  <c r="O19" i="6" s="1"/>
  <c r="P19" i="6" s="1"/>
  <c r="Q19" i="6" s="1"/>
  <c r="R19" i="6" s="1"/>
  <c r="K19" i="6"/>
  <c r="J19" i="6"/>
  <c r="I19" i="6"/>
  <c r="I40" i="6" s="1"/>
  <c r="J40" i="6" s="1"/>
  <c r="K40" i="6" s="1"/>
  <c r="L40" i="6" s="1"/>
  <c r="M40" i="6" s="1"/>
  <c r="N40" i="6" s="1"/>
  <c r="O40" i="6" s="1"/>
  <c r="P40" i="6" s="1"/>
  <c r="Q40" i="6" s="1"/>
  <c r="R40" i="6" s="1"/>
  <c r="D13" i="6"/>
  <c r="J10" i="6"/>
  <c r="K10" i="6" s="1"/>
  <c r="L10" i="6" s="1"/>
  <c r="M10" i="6" s="1"/>
  <c r="N10" i="6" s="1"/>
  <c r="O10" i="6" s="1"/>
  <c r="P10" i="6" s="1"/>
  <c r="Q10" i="6" s="1"/>
  <c r="R10" i="6" s="1"/>
  <c r="H10" i="6"/>
  <c r="F10" i="6"/>
  <c r="E10" i="6"/>
  <c r="E9" i="6"/>
  <c r="G6" i="6" s="1"/>
  <c r="D8" i="6"/>
  <c r="F8" i="6" s="1"/>
  <c r="H8" i="6" s="1"/>
  <c r="C8" i="6"/>
  <c r="C13" i="6" s="1"/>
  <c r="C4" i="6" s="1"/>
  <c r="B8" i="6"/>
  <c r="B13" i="6" s="1"/>
  <c r="B4" i="6" s="1"/>
  <c r="R7" i="6"/>
  <c r="Q7" i="6"/>
  <c r="P7" i="6"/>
  <c r="O7" i="6"/>
  <c r="N7" i="6"/>
  <c r="M7" i="6"/>
  <c r="L7" i="6"/>
  <c r="K7" i="6"/>
  <c r="K58" i="6" s="1"/>
  <c r="J7" i="6"/>
  <c r="F7" i="6"/>
  <c r="H7" i="6" s="1"/>
  <c r="F6" i="6"/>
  <c r="F9" i="6" s="1"/>
  <c r="C6" i="6"/>
  <c r="D4" i="6"/>
  <c r="I3" i="6"/>
  <c r="J3" i="6" s="1"/>
  <c r="J2" i="6"/>
  <c r="K2" i="6" s="1"/>
  <c r="J38" i="5"/>
  <c r="J36" i="5"/>
  <c r="R27" i="5"/>
  <c r="Q27" i="5"/>
  <c r="R25" i="5"/>
  <c r="Q25" i="5"/>
  <c r="H145" i="5"/>
  <c r="H144" i="5"/>
  <c r="H139" i="5"/>
  <c r="J125" i="5"/>
  <c r="K125" i="5" s="1"/>
  <c r="I125" i="5"/>
  <c r="F125" i="5"/>
  <c r="I104" i="5"/>
  <c r="I100" i="5"/>
  <c r="H100" i="5"/>
  <c r="H121" i="5" s="1"/>
  <c r="J94" i="5"/>
  <c r="I94" i="5"/>
  <c r="J90" i="5"/>
  <c r="I90" i="5"/>
  <c r="H90" i="5"/>
  <c r="I83" i="5"/>
  <c r="J83" i="5" s="1"/>
  <c r="K79" i="5"/>
  <c r="J79" i="5"/>
  <c r="I79" i="5"/>
  <c r="H79" i="5"/>
  <c r="I73" i="5"/>
  <c r="J73" i="5" s="1"/>
  <c r="K73" i="5" s="1"/>
  <c r="K69" i="5"/>
  <c r="J69" i="5"/>
  <c r="H69" i="5"/>
  <c r="J62" i="5"/>
  <c r="K62" i="5" s="1"/>
  <c r="L62" i="5" s="1"/>
  <c r="I62" i="5"/>
  <c r="F62" i="5"/>
  <c r="F115" i="5" s="1"/>
  <c r="I115" i="5" s="1"/>
  <c r="H59" i="5"/>
  <c r="H58" i="5"/>
  <c r="I53" i="5"/>
  <c r="J53" i="5" s="1"/>
  <c r="K53" i="5" s="1"/>
  <c r="H50" i="5"/>
  <c r="I49" i="5"/>
  <c r="H49" i="5"/>
  <c r="H48" i="5"/>
  <c r="E42" i="5"/>
  <c r="I40" i="5"/>
  <c r="J40" i="5" s="1"/>
  <c r="K40" i="5" s="1"/>
  <c r="L40" i="5" s="1"/>
  <c r="M40" i="5" s="1"/>
  <c r="N40" i="5" s="1"/>
  <c r="O40" i="5" s="1"/>
  <c r="P40" i="5" s="1"/>
  <c r="Q40" i="5" s="1"/>
  <c r="R40" i="5" s="1"/>
  <c r="J37" i="5"/>
  <c r="E31" i="5"/>
  <c r="N29" i="5"/>
  <c r="O29" i="5" s="1"/>
  <c r="P29" i="5" s="1"/>
  <c r="Q29" i="5" s="1"/>
  <c r="R29" i="5" s="1"/>
  <c r="M29" i="5"/>
  <c r="I29" i="5"/>
  <c r="J29" i="5" s="1"/>
  <c r="K29" i="5" s="1"/>
  <c r="L29" i="5" s="1"/>
  <c r="H24" i="5"/>
  <c r="H35" i="5" s="1"/>
  <c r="E21" i="5"/>
  <c r="L19" i="5"/>
  <c r="M19" i="5" s="1"/>
  <c r="N19" i="5" s="1"/>
  <c r="O19" i="5" s="1"/>
  <c r="P19" i="5" s="1"/>
  <c r="Q19" i="5" s="1"/>
  <c r="R19" i="5" s="1"/>
  <c r="K19" i="5"/>
  <c r="J19" i="5"/>
  <c r="I19" i="5"/>
  <c r="E13" i="5"/>
  <c r="D13" i="5"/>
  <c r="D4" i="5" s="1"/>
  <c r="J10" i="5"/>
  <c r="K10" i="5" s="1"/>
  <c r="L10" i="5" s="1"/>
  <c r="M10" i="5" s="1"/>
  <c r="N10" i="5" s="1"/>
  <c r="O10" i="5" s="1"/>
  <c r="P10" i="5" s="1"/>
  <c r="Q10" i="5" s="1"/>
  <c r="R10" i="5" s="1"/>
  <c r="F10" i="5"/>
  <c r="H10" i="5" s="1"/>
  <c r="E10" i="5"/>
  <c r="E9" i="5"/>
  <c r="D8" i="5"/>
  <c r="C8" i="5"/>
  <c r="B8" i="5"/>
  <c r="B13" i="5" s="1"/>
  <c r="B4" i="5" s="1"/>
  <c r="R7" i="5"/>
  <c r="Q7" i="5"/>
  <c r="P7" i="5"/>
  <c r="O7" i="5"/>
  <c r="N7" i="5"/>
  <c r="M7" i="5"/>
  <c r="L7" i="5"/>
  <c r="K7" i="5"/>
  <c r="J7" i="5"/>
  <c r="F7" i="5"/>
  <c r="H7" i="5" s="1"/>
  <c r="G6" i="5"/>
  <c r="F6" i="5"/>
  <c r="H6" i="5" s="1"/>
  <c r="C6" i="5"/>
  <c r="C13" i="5" s="1"/>
  <c r="C4" i="5" s="1"/>
  <c r="I3" i="5"/>
  <c r="J3" i="5" s="1"/>
  <c r="J2" i="5"/>
  <c r="K2" i="5" s="1"/>
  <c r="L2" i="5" s="1"/>
  <c r="M2" i="5" s="1"/>
  <c r="K38" i="4"/>
  <c r="J38" i="4"/>
  <c r="K36" i="4"/>
  <c r="J36" i="4"/>
  <c r="R25" i="4"/>
  <c r="Q25" i="4"/>
  <c r="R27" i="4"/>
  <c r="Q27" i="4"/>
  <c r="H145" i="4"/>
  <c r="H144" i="4"/>
  <c r="H139" i="4"/>
  <c r="F125" i="4"/>
  <c r="I125" i="4" s="1"/>
  <c r="J115" i="4"/>
  <c r="F115" i="4"/>
  <c r="I115" i="4" s="1"/>
  <c r="L104" i="4"/>
  <c r="J104" i="4"/>
  <c r="K104" i="4" s="1"/>
  <c r="I104" i="4"/>
  <c r="I100" i="4"/>
  <c r="J94" i="4"/>
  <c r="I94" i="4"/>
  <c r="H89" i="4"/>
  <c r="H110" i="4" s="1"/>
  <c r="K83" i="4"/>
  <c r="J83" i="4"/>
  <c r="I83" i="4"/>
  <c r="K73" i="4"/>
  <c r="L73" i="4" s="1"/>
  <c r="I73" i="4"/>
  <c r="J73" i="4" s="1"/>
  <c r="H68" i="4"/>
  <c r="F62" i="4"/>
  <c r="I62" i="4" s="1"/>
  <c r="H59" i="4"/>
  <c r="K58" i="4"/>
  <c r="J58" i="4"/>
  <c r="I58" i="4"/>
  <c r="H58" i="4"/>
  <c r="I53" i="4"/>
  <c r="H50" i="4"/>
  <c r="H49" i="4"/>
  <c r="H48" i="4"/>
  <c r="E42" i="4"/>
  <c r="L40" i="4"/>
  <c r="M40" i="4" s="1"/>
  <c r="N40" i="4" s="1"/>
  <c r="O40" i="4" s="1"/>
  <c r="P40" i="4" s="1"/>
  <c r="Q40" i="4" s="1"/>
  <c r="R40" i="4" s="1"/>
  <c r="J40" i="4"/>
  <c r="K40" i="4" s="1"/>
  <c r="K37" i="4"/>
  <c r="J37" i="4"/>
  <c r="E31" i="4"/>
  <c r="I29" i="4"/>
  <c r="J29" i="4" s="1"/>
  <c r="K29" i="4" s="1"/>
  <c r="L29" i="4" s="1"/>
  <c r="M29" i="4" s="1"/>
  <c r="N29" i="4" s="1"/>
  <c r="O29" i="4" s="1"/>
  <c r="P29" i="4" s="1"/>
  <c r="Q29" i="4" s="1"/>
  <c r="R29" i="4" s="1"/>
  <c r="H24" i="4"/>
  <c r="H35" i="4" s="1"/>
  <c r="E21" i="4"/>
  <c r="I19" i="4"/>
  <c r="I40" i="4" s="1"/>
  <c r="B13" i="4"/>
  <c r="E12" i="4"/>
  <c r="J10" i="4"/>
  <c r="K10" i="4" s="1"/>
  <c r="L10" i="4" s="1"/>
  <c r="M10" i="4" s="1"/>
  <c r="N10" i="4" s="1"/>
  <c r="O10" i="4" s="1"/>
  <c r="P10" i="4" s="1"/>
  <c r="Q10" i="4" s="1"/>
  <c r="R10" i="4" s="1"/>
  <c r="F10" i="4"/>
  <c r="H10" i="4" s="1"/>
  <c r="E10" i="4"/>
  <c r="G9" i="4"/>
  <c r="E9" i="4"/>
  <c r="F8" i="4"/>
  <c r="H8" i="4" s="1"/>
  <c r="D8" i="4"/>
  <c r="D13" i="4" s="1"/>
  <c r="D4" i="4" s="1"/>
  <c r="C8" i="4"/>
  <c r="B8" i="4"/>
  <c r="R7" i="4"/>
  <c r="Q7" i="4"/>
  <c r="P7" i="4"/>
  <c r="O7" i="4"/>
  <c r="N7" i="4"/>
  <c r="M7" i="4"/>
  <c r="L7" i="4"/>
  <c r="K7" i="4"/>
  <c r="J7" i="4"/>
  <c r="H7" i="4"/>
  <c r="F7" i="4"/>
  <c r="G6" i="4"/>
  <c r="F6" i="4"/>
  <c r="C6" i="4"/>
  <c r="C13" i="4" s="1"/>
  <c r="C4" i="4"/>
  <c r="B4" i="4"/>
  <c r="K3" i="4"/>
  <c r="J3" i="4"/>
  <c r="I3" i="4"/>
  <c r="L2" i="4"/>
  <c r="K2" i="4"/>
  <c r="J2" i="4"/>
  <c r="J79" i="4" s="1"/>
  <c r="R121" i="1"/>
  <c r="Q121" i="1"/>
  <c r="P121" i="1"/>
  <c r="O121" i="1"/>
  <c r="N121" i="1"/>
  <c r="M121" i="1"/>
  <c r="L121" i="1"/>
  <c r="K121" i="1"/>
  <c r="J121" i="1"/>
  <c r="I121" i="1"/>
  <c r="R111" i="1"/>
  <c r="Q111" i="1"/>
  <c r="P111" i="1"/>
  <c r="O111" i="1"/>
  <c r="N111" i="1"/>
  <c r="M111" i="1"/>
  <c r="L111" i="1"/>
  <c r="K111" i="1"/>
  <c r="J111" i="1"/>
  <c r="I111" i="1"/>
  <c r="R100" i="1"/>
  <c r="Q100" i="1"/>
  <c r="P100" i="1"/>
  <c r="O100" i="1"/>
  <c r="N100" i="1"/>
  <c r="M100" i="1"/>
  <c r="L100" i="1"/>
  <c r="K100" i="1"/>
  <c r="J100" i="1"/>
  <c r="I100" i="1"/>
  <c r="R79" i="1"/>
  <c r="Q79" i="1"/>
  <c r="P79" i="1"/>
  <c r="O79" i="1"/>
  <c r="N79" i="1"/>
  <c r="M79" i="1"/>
  <c r="L79" i="1"/>
  <c r="K79" i="1"/>
  <c r="J79" i="1"/>
  <c r="R90" i="1"/>
  <c r="Q90" i="1"/>
  <c r="P90" i="1"/>
  <c r="O90" i="1"/>
  <c r="N90" i="1"/>
  <c r="M90" i="1"/>
  <c r="L90" i="1"/>
  <c r="K90" i="1"/>
  <c r="J90" i="1"/>
  <c r="I90" i="1"/>
  <c r="I79" i="1"/>
  <c r="I69" i="1"/>
  <c r="R58" i="1"/>
  <c r="Q58" i="1"/>
  <c r="P58" i="1"/>
  <c r="O58" i="1"/>
  <c r="N58" i="1"/>
  <c r="M58" i="1"/>
  <c r="L58" i="1"/>
  <c r="K58" i="1"/>
  <c r="J58" i="1"/>
  <c r="I58" i="1"/>
  <c r="R49" i="1"/>
  <c r="Q49" i="1"/>
  <c r="P49" i="1"/>
  <c r="O49" i="1"/>
  <c r="N49" i="1"/>
  <c r="M49" i="1"/>
  <c r="L49" i="1"/>
  <c r="K49" i="1"/>
  <c r="L50" i="1"/>
  <c r="J49" i="1"/>
  <c r="I49" i="1"/>
  <c r="F115" i="1"/>
  <c r="F125" i="1"/>
  <c r="K12" i="2"/>
  <c r="R36" i="1"/>
  <c r="Q36" i="1"/>
  <c r="P36" i="1"/>
  <c r="O36" i="1"/>
  <c r="N36" i="1"/>
  <c r="N42" i="1" s="1"/>
  <c r="M36" i="1"/>
  <c r="L36" i="1"/>
  <c r="K36" i="1"/>
  <c r="R42" i="1"/>
  <c r="Q42" i="1"/>
  <c r="P42" i="1"/>
  <c r="O42" i="1"/>
  <c r="M42" i="1"/>
  <c r="L42" i="1"/>
  <c r="K42" i="1"/>
  <c r="J42" i="1"/>
  <c r="J36" i="1"/>
  <c r="J39" i="1"/>
  <c r="R39" i="1"/>
  <c r="Q39" i="1"/>
  <c r="P39" i="1"/>
  <c r="O39" i="1"/>
  <c r="N39" i="1"/>
  <c r="M39" i="1"/>
  <c r="L39" i="1"/>
  <c r="K39" i="1"/>
  <c r="R25" i="1"/>
  <c r="Q25" i="1"/>
  <c r="P27" i="1"/>
  <c r="O27" i="1"/>
  <c r="N27" i="1"/>
  <c r="M27" i="1"/>
  <c r="M30" i="1" s="1"/>
  <c r="K30" i="1"/>
  <c r="J30" i="1"/>
  <c r="J27" i="1"/>
  <c r="P25" i="1"/>
  <c r="O25" i="1"/>
  <c r="N25" i="1"/>
  <c r="M25" i="1"/>
  <c r="L25" i="1"/>
  <c r="K25" i="1"/>
  <c r="J25" i="1"/>
  <c r="K27" i="1"/>
  <c r="K28" i="1"/>
  <c r="L28" i="1" s="1"/>
  <c r="M28" i="1" s="1"/>
  <c r="N28" i="1" s="1"/>
  <c r="O28" i="1" s="1"/>
  <c r="P28" i="1" s="1"/>
  <c r="Q28" i="1" s="1"/>
  <c r="R28" i="1" s="1"/>
  <c r="J28" i="1"/>
  <c r="I27" i="1"/>
  <c r="I39" i="1"/>
  <c r="I38" i="1"/>
  <c r="I36" i="1"/>
  <c r="I25" i="1"/>
  <c r="I28" i="1"/>
  <c r="R18" i="1"/>
  <c r="Q18" i="1"/>
  <c r="P18" i="1"/>
  <c r="O18" i="1"/>
  <c r="N18" i="1"/>
  <c r="M18" i="1"/>
  <c r="L18" i="1"/>
  <c r="L15" i="1" s="1"/>
  <c r="K18" i="1"/>
  <c r="K15" i="1" s="1"/>
  <c r="J18" i="1"/>
  <c r="R6" i="1"/>
  <c r="Q6" i="1"/>
  <c r="P6" i="1"/>
  <c r="O6" i="1"/>
  <c r="N6" i="1"/>
  <c r="M6" i="1"/>
  <c r="M11" i="1" s="1"/>
  <c r="L8" i="1"/>
  <c r="L6" i="1"/>
  <c r="I9" i="1"/>
  <c r="J9" i="1" s="1"/>
  <c r="K9" i="1" s="1"/>
  <c r="L9" i="1" s="1"/>
  <c r="M9" i="1" s="1"/>
  <c r="N9" i="1" s="1"/>
  <c r="O9" i="1" s="1"/>
  <c r="P9" i="1" s="1"/>
  <c r="Q9" i="1" s="1"/>
  <c r="R9" i="1" s="1"/>
  <c r="R15" i="1"/>
  <c r="Q15" i="1"/>
  <c r="P15" i="1"/>
  <c r="O15" i="1"/>
  <c r="N15" i="1"/>
  <c r="M15" i="1"/>
  <c r="J15" i="1"/>
  <c r="E42" i="1"/>
  <c r="E31" i="1"/>
  <c r="E21" i="1"/>
  <c r="I40" i="1"/>
  <c r="J40" i="1" s="1"/>
  <c r="K40" i="1" s="1"/>
  <c r="L40" i="1" s="1"/>
  <c r="M40" i="1" s="1"/>
  <c r="N40" i="1" s="1"/>
  <c r="O40" i="1" s="1"/>
  <c r="P40" i="1" s="1"/>
  <c r="Q40" i="1" s="1"/>
  <c r="R40" i="1" s="1"/>
  <c r="I29" i="1"/>
  <c r="J29" i="1" s="1"/>
  <c r="K29" i="1" s="1"/>
  <c r="L29" i="1" s="1"/>
  <c r="M29" i="1" s="1"/>
  <c r="N29" i="1" s="1"/>
  <c r="O29" i="1" s="1"/>
  <c r="P29" i="1" s="1"/>
  <c r="Q29" i="1" s="1"/>
  <c r="R29" i="1" s="1"/>
  <c r="I19" i="1"/>
  <c r="J19" i="1" s="1"/>
  <c r="K19" i="1" s="1"/>
  <c r="L19" i="1" s="1"/>
  <c r="M19" i="1" s="1"/>
  <c r="N19" i="1" s="1"/>
  <c r="O19" i="1" s="1"/>
  <c r="P19" i="1" s="1"/>
  <c r="Q19" i="1" s="1"/>
  <c r="R19" i="1" s="1"/>
  <c r="J10" i="1"/>
  <c r="K10" i="1" s="1"/>
  <c r="L10" i="1" s="1"/>
  <c r="M10" i="1" s="1"/>
  <c r="N10" i="1" s="1"/>
  <c r="O10" i="1" s="1"/>
  <c r="P10" i="1" s="1"/>
  <c r="Q10" i="1" s="1"/>
  <c r="R10" i="1" s="1"/>
  <c r="H112" i="9" l="1"/>
  <c r="L104" i="9"/>
  <c r="M37" i="9"/>
  <c r="L121" i="9"/>
  <c r="L111" i="9"/>
  <c r="J122" i="9"/>
  <c r="L122" i="9"/>
  <c r="K122" i="9"/>
  <c r="M125" i="9"/>
  <c r="L79" i="9"/>
  <c r="M2" i="9"/>
  <c r="L49" i="9"/>
  <c r="L90" i="9"/>
  <c r="L53" i="9"/>
  <c r="K3" i="9"/>
  <c r="F13" i="9"/>
  <c r="H13" i="9" s="1"/>
  <c r="E4" i="9"/>
  <c r="O115" i="9"/>
  <c r="J111" i="9"/>
  <c r="L83" i="9"/>
  <c r="L73" i="9"/>
  <c r="L94" i="9"/>
  <c r="L62" i="9"/>
  <c r="K122" i="8"/>
  <c r="J122" i="8"/>
  <c r="L62" i="8"/>
  <c r="K115" i="8"/>
  <c r="M125" i="8"/>
  <c r="L73" i="8"/>
  <c r="K49" i="8"/>
  <c r="K112" i="8"/>
  <c r="K79" i="8"/>
  <c r="K69" i="8"/>
  <c r="L2" i="8"/>
  <c r="K58" i="8"/>
  <c r="K104" i="8"/>
  <c r="M83" i="8"/>
  <c r="E4" i="8"/>
  <c r="F13" i="8"/>
  <c r="H13" i="8" s="1"/>
  <c r="N37" i="8"/>
  <c r="L3" i="8"/>
  <c r="K94" i="8"/>
  <c r="P53" i="8"/>
  <c r="K3" i="7"/>
  <c r="G9" i="7"/>
  <c r="K62" i="7"/>
  <c r="L125" i="7"/>
  <c r="E13" i="7"/>
  <c r="K37" i="7"/>
  <c r="J121" i="7"/>
  <c r="H89" i="7"/>
  <c r="H110" i="7" s="1"/>
  <c r="H68" i="7"/>
  <c r="K2" i="7"/>
  <c r="J90" i="7"/>
  <c r="J79" i="7"/>
  <c r="J69" i="7"/>
  <c r="N53" i="7"/>
  <c r="K73" i="7"/>
  <c r="H91" i="7"/>
  <c r="K90" i="7"/>
  <c r="K83" i="7"/>
  <c r="J94" i="7"/>
  <c r="J104" i="7"/>
  <c r="H111" i="7"/>
  <c r="I111" i="7" s="1"/>
  <c r="K115" i="7"/>
  <c r="J49" i="7"/>
  <c r="H70" i="7"/>
  <c r="H80" i="7"/>
  <c r="H101" i="7" s="1"/>
  <c r="H122" i="7" s="1"/>
  <c r="J100" i="7"/>
  <c r="I58" i="7"/>
  <c r="I62" i="6"/>
  <c r="J62" i="6" s="1"/>
  <c r="K62" i="6" s="1"/>
  <c r="L62" i="6" s="1"/>
  <c r="L125" i="6"/>
  <c r="K3" i="6"/>
  <c r="M53" i="6"/>
  <c r="G9" i="6"/>
  <c r="E12" i="6"/>
  <c r="E13" i="6"/>
  <c r="L2" i="6"/>
  <c r="K79" i="6"/>
  <c r="K69" i="6"/>
  <c r="J49" i="6"/>
  <c r="J58" i="6"/>
  <c r="I69" i="6"/>
  <c r="J111" i="6"/>
  <c r="K37" i="6"/>
  <c r="J121" i="6"/>
  <c r="L90" i="6"/>
  <c r="K90" i="6"/>
  <c r="K49" i="6"/>
  <c r="H6" i="6"/>
  <c r="M62" i="6"/>
  <c r="L73" i="6"/>
  <c r="K83" i="6"/>
  <c r="J94" i="6"/>
  <c r="J104" i="6"/>
  <c r="H111" i="6"/>
  <c r="I111" i="6" s="1"/>
  <c r="L100" i="6"/>
  <c r="J115" i="6"/>
  <c r="H89" i="6"/>
  <c r="H110" i="6" s="1"/>
  <c r="H68" i="6"/>
  <c r="H80" i="6"/>
  <c r="H101" i="6" s="1"/>
  <c r="H122" i="6" s="1"/>
  <c r="L79" i="6"/>
  <c r="H91" i="6"/>
  <c r="J100" i="6"/>
  <c r="K100" i="6"/>
  <c r="I58" i="6"/>
  <c r="M58" i="5"/>
  <c r="M100" i="5"/>
  <c r="M49" i="5"/>
  <c r="N2" i="5"/>
  <c r="F9" i="5"/>
  <c r="M59" i="5"/>
  <c r="H80" i="5"/>
  <c r="H101" i="5" s="1"/>
  <c r="H122" i="5" s="1"/>
  <c r="M62" i="5"/>
  <c r="J49" i="5"/>
  <c r="J58" i="5"/>
  <c r="K83" i="5"/>
  <c r="I121" i="5"/>
  <c r="J121" i="5"/>
  <c r="L125" i="5"/>
  <c r="K3" i="5"/>
  <c r="L69" i="5"/>
  <c r="K58" i="5"/>
  <c r="K49" i="5"/>
  <c r="H89" i="5"/>
  <c r="H110" i="5" s="1"/>
  <c r="H68" i="5"/>
  <c r="F8" i="5"/>
  <c r="H8" i="5" s="1"/>
  <c r="L73" i="5"/>
  <c r="F13" i="5"/>
  <c r="H13" i="5" s="1"/>
  <c r="E4" i="5"/>
  <c r="L58" i="5"/>
  <c r="L49" i="5"/>
  <c r="E12" i="5"/>
  <c r="G9" i="5"/>
  <c r="L53" i="5"/>
  <c r="J115" i="5"/>
  <c r="M90" i="5"/>
  <c r="L90" i="5"/>
  <c r="K90" i="5"/>
  <c r="H111" i="5"/>
  <c r="I111" i="5" s="1"/>
  <c r="J111" i="5"/>
  <c r="H91" i="5"/>
  <c r="M50" i="5"/>
  <c r="L100" i="5"/>
  <c r="K37" i="5"/>
  <c r="M69" i="5"/>
  <c r="H70" i="5"/>
  <c r="K94" i="5"/>
  <c r="J104" i="5"/>
  <c r="I69" i="5"/>
  <c r="L79" i="5"/>
  <c r="J100" i="5"/>
  <c r="M79" i="5"/>
  <c r="K100" i="5"/>
  <c r="I58" i="5"/>
  <c r="N79" i="5"/>
  <c r="H90" i="4"/>
  <c r="H69" i="4"/>
  <c r="I49" i="4"/>
  <c r="L49" i="4"/>
  <c r="K49" i="4"/>
  <c r="F9" i="4"/>
  <c r="H6" i="4"/>
  <c r="J49" i="4"/>
  <c r="L79" i="4"/>
  <c r="L100" i="4"/>
  <c r="M2" i="4"/>
  <c r="N2" i="4" s="1"/>
  <c r="L3" i="4"/>
  <c r="M104" i="4"/>
  <c r="J19" i="4"/>
  <c r="K19" i="4" s="1"/>
  <c r="L19" i="4" s="1"/>
  <c r="M19" i="4" s="1"/>
  <c r="N19" i="4" s="1"/>
  <c r="O19" i="4" s="1"/>
  <c r="P19" i="4" s="1"/>
  <c r="Q19" i="4" s="1"/>
  <c r="R19" i="4" s="1"/>
  <c r="M73" i="4"/>
  <c r="J100" i="4"/>
  <c r="H70" i="4"/>
  <c r="M50" i="4"/>
  <c r="H91" i="4"/>
  <c r="H80" i="4"/>
  <c r="H101" i="4" s="1"/>
  <c r="H122" i="4" s="1"/>
  <c r="L83" i="4"/>
  <c r="K115" i="4"/>
  <c r="J125" i="4"/>
  <c r="E13" i="4"/>
  <c r="J121" i="4"/>
  <c r="K94" i="4"/>
  <c r="L58" i="4"/>
  <c r="L37" i="4"/>
  <c r="J62" i="4"/>
  <c r="K100" i="4"/>
  <c r="I79" i="4"/>
  <c r="K79" i="4"/>
  <c r="J53" i="4"/>
  <c r="M49" i="4"/>
  <c r="H79" i="4"/>
  <c r="H100" i="4" s="1"/>
  <c r="H121" i="4" s="1"/>
  <c r="I121" i="4" s="1"/>
  <c r="F7" i="1"/>
  <c r="M94" i="9" l="1"/>
  <c r="M121" i="9"/>
  <c r="M111" i="9"/>
  <c r="N37" i="9"/>
  <c r="M73" i="9"/>
  <c r="N125" i="9"/>
  <c r="M62" i="9"/>
  <c r="P115" i="9"/>
  <c r="M100" i="9"/>
  <c r="M49" i="9"/>
  <c r="N2" i="9"/>
  <c r="M58" i="9"/>
  <c r="M50" i="9"/>
  <c r="M90" i="9"/>
  <c r="M79" i="9"/>
  <c r="M59" i="9"/>
  <c r="M69" i="9"/>
  <c r="M83" i="9"/>
  <c r="L3" i="9"/>
  <c r="M122" i="9"/>
  <c r="F4" i="9"/>
  <c r="H4" i="9" s="1"/>
  <c r="I9" i="9" s="1"/>
  <c r="I4" i="9"/>
  <c r="M104" i="9"/>
  <c r="M53" i="9"/>
  <c r="J112" i="9"/>
  <c r="N112" i="9"/>
  <c r="M112" i="9"/>
  <c r="L112" i="9"/>
  <c r="K112" i="9"/>
  <c r="J111" i="7"/>
  <c r="O37" i="8"/>
  <c r="N125" i="8"/>
  <c r="Q53" i="8"/>
  <c r="L112" i="8"/>
  <c r="L69" i="8"/>
  <c r="M2" i="8"/>
  <c r="L111" i="8"/>
  <c r="L90" i="8"/>
  <c r="L121" i="8"/>
  <c r="L100" i="8"/>
  <c r="L58" i="8"/>
  <c r="L49" i="8"/>
  <c r="L79" i="8"/>
  <c r="N83" i="8"/>
  <c r="L122" i="8"/>
  <c r="F4" i="8"/>
  <c r="H4" i="8" s="1"/>
  <c r="I9" i="8" s="1"/>
  <c r="I4" i="8"/>
  <c r="L115" i="8"/>
  <c r="M62" i="8"/>
  <c r="L94" i="8"/>
  <c r="M3" i="8"/>
  <c r="L104" i="8"/>
  <c r="M73" i="8"/>
  <c r="K104" i="7"/>
  <c r="L2" i="7"/>
  <c r="K79" i="7"/>
  <c r="K69" i="7"/>
  <c r="K49" i="7"/>
  <c r="K111" i="7"/>
  <c r="K121" i="7"/>
  <c r="L37" i="7"/>
  <c r="K100" i="7"/>
  <c r="L115" i="7"/>
  <c r="M125" i="7"/>
  <c r="L73" i="7"/>
  <c r="K94" i="7"/>
  <c r="F13" i="7"/>
  <c r="H13" i="7" s="1"/>
  <c r="E4" i="7"/>
  <c r="L83" i="7"/>
  <c r="K58" i="7"/>
  <c r="L62" i="7"/>
  <c r="L122" i="7"/>
  <c r="K122" i="7"/>
  <c r="J122" i="7"/>
  <c r="H112" i="7"/>
  <c r="O53" i="7"/>
  <c r="L3" i="7"/>
  <c r="H112" i="6"/>
  <c r="M73" i="6"/>
  <c r="N62" i="6"/>
  <c r="K94" i="6"/>
  <c r="M125" i="6"/>
  <c r="N53" i="6"/>
  <c r="K111" i="6"/>
  <c r="K121" i="6"/>
  <c r="L37" i="6"/>
  <c r="L122" i="6"/>
  <c r="K122" i="6"/>
  <c r="J122" i="6"/>
  <c r="L83" i="6"/>
  <c r="K115" i="6"/>
  <c r="L69" i="6"/>
  <c r="M2" i="6"/>
  <c r="K104" i="6"/>
  <c r="F13" i="6"/>
  <c r="H13" i="6" s="1"/>
  <c r="E4" i="6"/>
  <c r="L3" i="6"/>
  <c r="L49" i="6"/>
  <c r="L58" i="6"/>
  <c r="N62" i="5"/>
  <c r="M73" i="5"/>
  <c r="L83" i="5"/>
  <c r="N100" i="5"/>
  <c r="N58" i="5"/>
  <c r="N49" i="5"/>
  <c r="O2" i="5"/>
  <c r="N50" i="5"/>
  <c r="H112" i="5"/>
  <c r="N69" i="5"/>
  <c r="K111" i="5"/>
  <c r="L37" i="5"/>
  <c r="K121" i="5"/>
  <c r="K115" i="5"/>
  <c r="N122" i="5"/>
  <c r="M122" i="5"/>
  <c r="L122" i="5"/>
  <c r="O122" i="5"/>
  <c r="K122" i="5"/>
  <c r="J122" i="5"/>
  <c r="L3" i="5"/>
  <c r="N90" i="5"/>
  <c r="F4" i="5"/>
  <c r="H4" i="5" s="1"/>
  <c r="I9" i="5" s="1"/>
  <c r="L94" i="5"/>
  <c r="K104" i="5"/>
  <c r="M53" i="5"/>
  <c r="M125" i="5"/>
  <c r="N59" i="5"/>
  <c r="O2" i="4"/>
  <c r="N79" i="4"/>
  <c r="N100" i="4"/>
  <c r="L115" i="4"/>
  <c r="H112" i="4"/>
  <c r="N59" i="4"/>
  <c r="N104" i="4"/>
  <c r="E4" i="4"/>
  <c r="F13" i="4"/>
  <c r="H13" i="4" s="1"/>
  <c r="N73" i="4"/>
  <c r="N49" i="4"/>
  <c r="L94" i="4"/>
  <c r="M58" i="4"/>
  <c r="M79" i="4"/>
  <c r="M122" i="4"/>
  <c r="K122" i="4"/>
  <c r="O122" i="4"/>
  <c r="J122" i="4"/>
  <c r="N122" i="4"/>
  <c r="L122" i="4"/>
  <c r="N58" i="4"/>
  <c r="N69" i="4"/>
  <c r="J69" i="4"/>
  <c r="I69" i="4"/>
  <c r="L69" i="4"/>
  <c r="O69" i="4"/>
  <c r="M69" i="4"/>
  <c r="K69" i="4"/>
  <c r="K62" i="4"/>
  <c r="M83" i="4"/>
  <c r="L121" i="4"/>
  <c r="L111" i="4"/>
  <c r="M37" i="4"/>
  <c r="N50" i="4"/>
  <c r="K53" i="4"/>
  <c r="M59" i="4"/>
  <c r="M100" i="4"/>
  <c r="K121" i="4"/>
  <c r="K125" i="4"/>
  <c r="M3" i="4"/>
  <c r="L90" i="4"/>
  <c r="H111" i="4"/>
  <c r="O90" i="4"/>
  <c r="N90" i="4"/>
  <c r="I90" i="4"/>
  <c r="M90" i="4"/>
  <c r="K90" i="4"/>
  <c r="J90" i="4"/>
  <c r="N73" i="9" l="1"/>
  <c r="N121" i="9"/>
  <c r="N111" i="9"/>
  <c r="O37" i="9"/>
  <c r="N83" i="9"/>
  <c r="N49" i="9"/>
  <c r="N100" i="9"/>
  <c r="O2" i="9"/>
  <c r="N90" i="9"/>
  <c r="N50" i="9"/>
  <c r="N59" i="9"/>
  <c r="N69" i="9"/>
  <c r="N58" i="9"/>
  <c r="N79" i="9"/>
  <c r="N122" i="9"/>
  <c r="J4" i="9"/>
  <c r="I24" i="9"/>
  <c r="I13" i="9"/>
  <c r="N104" i="9"/>
  <c r="Q115" i="9"/>
  <c r="I28" i="9"/>
  <c r="I18" i="9"/>
  <c r="I6" i="9"/>
  <c r="J9" i="9"/>
  <c r="I12" i="9"/>
  <c r="J12" i="9" s="1"/>
  <c r="K12" i="9" s="1"/>
  <c r="I39" i="9"/>
  <c r="N62" i="9"/>
  <c r="N53" i="9"/>
  <c r="M3" i="9"/>
  <c r="O125" i="9"/>
  <c r="N94" i="9"/>
  <c r="R53" i="8"/>
  <c r="M115" i="8"/>
  <c r="I24" i="8"/>
  <c r="J4" i="8"/>
  <c r="I13" i="8"/>
  <c r="I39" i="8"/>
  <c r="I28" i="8"/>
  <c r="I6" i="8"/>
  <c r="I18" i="8"/>
  <c r="J9" i="8"/>
  <c r="I12" i="8"/>
  <c r="J12" i="8" s="1"/>
  <c r="K12" i="8" s="1"/>
  <c r="M94" i="8"/>
  <c r="P37" i="8"/>
  <c r="M104" i="8"/>
  <c r="N73" i="8"/>
  <c r="N62" i="8"/>
  <c r="O83" i="8"/>
  <c r="M50" i="8"/>
  <c r="N2" i="8"/>
  <c r="M112" i="8"/>
  <c r="M58" i="8"/>
  <c r="M90" i="8"/>
  <c r="M79" i="8"/>
  <c r="M100" i="8"/>
  <c r="M49" i="8"/>
  <c r="M69" i="8"/>
  <c r="M59" i="8"/>
  <c r="M121" i="8"/>
  <c r="M122" i="8"/>
  <c r="M111" i="8"/>
  <c r="N3" i="8"/>
  <c r="O125" i="8"/>
  <c r="F4" i="7"/>
  <c r="H4" i="7" s="1"/>
  <c r="I9" i="7" s="1"/>
  <c r="M73" i="7"/>
  <c r="J112" i="7"/>
  <c r="L112" i="7"/>
  <c r="K112" i="7"/>
  <c r="M115" i="7"/>
  <c r="M2" i="7"/>
  <c r="L69" i="7"/>
  <c r="L49" i="7"/>
  <c r="L90" i="7"/>
  <c r="L58" i="7"/>
  <c r="L100" i="7"/>
  <c r="L79" i="7"/>
  <c r="P53" i="7"/>
  <c r="M83" i="7"/>
  <c r="L94" i="7"/>
  <c r="L104" i="7"/>
  <c r="N125" i="7"/>
  <c r="M3" i="7"/>
  <c r="M62" i="7"/>
  <c r="M37" i="7"/>
  <c r="L121" i="7"/>
  <c r="L111" i="7"/>
  <c r="M37" i="6"/>
  <c r="L111" i="6"/>
  <c r="L121" i="6"/>
  <c r="F4" i="6"/>
  <c r="H4" i="6" s="1"/>
  <c r="I9" i="6" s="1"/>
  <c r="M83" i="6"/>
  <c r="N125" i="6"/>
  <c r="N2" i="6"/>
  <c r="M50" i="6"/>
  <c r="M90" i="6"/>
  <c r="M79" i="6"/>
  <c r="M59" i="6"/>
  <c r="M49" i="6"/>
  <c r="M100" i="6"/>
  <c r="M58" i="6"/>
  <c r="M69" i="6"/>
  <c r="M3" i="6"/>
  <c r="M122" i="6"/>
  <c r="O62" i="6"/>
  <c r="N73" i="6"/>
  <c r="L115" i="6"/>
  <c r="O53" i="6"/>
  <c r="L104" i="6"/>
  <c r="L94" i="6"/>
  <c r="N112" i="6"/>
  <c r="M112" i="6"/>
  <c r="L112" i="6"/>
  <c r="K112" i="6"/>
  <c r="J112" i="6"/>
  <c r="N53" i="5"/>
  <c r="L104" i="5"/>
  <c r="M94" i="5"/>
  <c r="I12" i="5"/>
  <c r="J12" i="5" s="1"/>
  <c r="K12" i="5" s="1"/>
  <c r="J9" i="5"/>
  <c r="I39" i="5"/>
  <c r="I18" i="5"/>
  <c r="I28" i="5"/>
  <c r="I6" i="5"/>
  <c r="O62" i="5"/>
  <c r="M3" i="5"/>
  <c r="M83" i="5"/>
  <c r="O112" i="5"/>
  <c r="N112" i="5"/>
  <c r="M112" i="5"/>
  <c r="L112" i="5"/>
  <c r="K112" i="5"/>
  <c r="J112" i="5"/>
  <c r="N73" i="5"/>
  <c r="L115" i="5"/>
  <c r="N125" i="5"/>
  <c r="O100" i="5"/>
  <c r="O49" i="5"/>
  <c r="O79" i="5"/>
  <c r="P2" i="5"/>
  <c r="O90" i="5"/>
  <c r="O58" i="5"/>
  <c r="O69" i="5"/>
  <c r="O50" i="5"/>
  <c r="O59" i="5"/>
  <c r="I4" i="5"/>
  <c r="M37" i="5"/>
  <c r="L121" i="5"/>
  <c r="L111" i="5"/>
  <c r="M121" i="4"/>
  <c r="M111" i="4"/>
  <c r="N37" i="4"/>
  <c r="O73" i="4"/>
  <c r="M115" i="4"/>
  <c r="O112" i="4"/>
  <c r="M112" i="4"/>
  <c r="K112" i="4"/>
  <c r="L112" i="4"/>
  <c r="J112" i="4"/>
  <c r="P112" i="4"/>
  <c r="N112" i="4"/>
  <c r="I111" i="4"/>
  <c r="K111" i="4"/>
  <c r="J111" i="4"/>
  <c r="N83" i="4"/>
  <c r="O104" i="4"/>
  <c r="I4" i="4"/>
  <c r="F4" i="4"/>
  <c r="H4" i="4" s="1"/>
  <c r="I9" i="4" s="1"/>
  <c r="L53" i="4"/>
  <c r="L125" i="4"/>
  <c r="N3" i="4"/>
  <c r="L62" i="4"/>
  <c r="M94" i="4"/>
  <c r="P2" i="4"/>
  <c r="O50" i="4"/>
  <c r="O79" i="4"/>
  <c r="O100" i="4"/>
  <c r="O49" i="4"/>
  <c r="O58" i="4"/>
  <c r="O59" i="4"/>
  <c r="O104" i="9" l="1"/>
  <c r="O94" i="9"/>
  <c r="O62" i="9"/>
  <c r="R115" i="9"/>
  <c r="J6" i="9"/>
  <c r="J18" i="9"/>
  <c r="J15" i="9" s="1"/>
  <c r="K9" i="9"/>
  <c r="I48" i="9"/>
  <c r="I36" i="9"/>
  <c r="I25" i="9"/>
  <c r="I15" i="9"/>
  <c r="I35" i="9"/>
  <c r="J35" i="9" s="1"/>
  <c r="K35" i="9" s="1"/>
  <c r="L35" i="9" s="1"/>
  <c r="M35" i="9" s="1"/>
  <c r="N35" i="9" s="1"/>
  <c r="O35" i="9" s="1"/>
  <c r="P35" i="9" s="1"/>
  <c r="Q35" i="9" s="1"/>
  <c r="R35" i="9" s="1"/>
  <c r="J24" i="9"/>
  <c r="O121" i="9"/>
  <c r="O111" i="9"/>
  <c r="P37" i="9"/>
  <c r="I21" i="9"/>
  <c r="J21" i="9" s="1"/>
  <c r="K21" i="9" s="1"/>
  <c r="J22" i="9"/>
  <c r="K4" i="9"/>
  <c r="J13" i="9"/>
  <c r="J8" i="9" s="1"/>
  <c r="P2" i="9"/>
  <c r="O100" i="9"/>
  <c r="O79" i="9"/>
  <c r="O69" i="9"/>
  <c r="O59" i="9"/>
  <c r="O50" i="9"/>
  <c r="O58" i="9"/>
  <c r="O90" i="9"/>
  <c r="O49" i="9"/>
  <c r="O122" i="9"/>
  <c r="O112" i="9"/>
  <c r="O73" i="9"/>
  <c r="P125" i="9"/>
  <c r="O83" i="9"/>
  <c r="N3" i="9"/>
  <c r="I32" i="9"/>
  <c r="I8" i="9"/>
  <c r="I22" i="9"/>
  <c r="O53" i="9"/>
  <c r="I31" i="9"/>
  <c r="J31" i="9" s="1"/>
  <c r="K31" i="9" s="1"/>
  <c r="J28" i="9"/>
  <c r="I32" i="8"/>
  <c r="I8" i="8"/>
  <c r="I22" i="8"/>
  <c r="O3" i="8"/>
  <c r="O62" i="8"/>
  <c r="O73" i="8"/>
  <c r="N94" i="8"/>
  <c r="J24" i="8"/>
  <c r="I35" i="8"/>
  <c r="J35" i="8" s="1"/>
  <c r="K35" i="8" s="1"/>
  <c r="L35" i="8" s="1"/>
  <c r="M35" i="8" s="1"/>
  <c r="N35" i="8" s="1"/>
  <c r="O35" i="8" s="1"/>
  <c r="P35" i="8" s="1"/>
  <c r="Q35" i="8" s="1"/>
  <c r="R35" i="8" s="1"/>
  <c r="K9" i="8"/>
  <c r="J6" i="8"/>
  <c r="J18" i="8"/>
  <c r="J15" i="8" s="1"/>
  <c r="I48" i="8"/>
  <c r="I36" i="8"/>
  <c r="I11" i="8"/>
  <c r="I15" i="8"/>
  <c r="I21" i="8" s="1"/>
  <c r="J21" i="8" s="1"/>
  <c r="K21" i="8" s="1"/>
  <c r="I25" i="8"/>
  <c r="K4" i="8"/>
  <c r="J22" i="8"/>
  <c r="J17" i="8" s="1"/>
  <c r="J13" i="8"/>
  <c r="J8" i="8" s="1"/>
  <c r="N50" i="8"/>
  <c r="N100" i="8"/>
  <c r="O2" i="8"/>
  <c r="N58" i="8"/>
  <c r="N69" i="8"/>
  <c r="N90" i="8"/>
  <c r="N49" i="8"/>
  <c r="N59" i="8"/>
  <c r="N79" i="8"/>
  <c r="N112" i="8"/>
  <c r="N122" i="8"/>
  <c r="N121" i="8"/>
  <c r="N111" i="8"/>
  <c r="P125" i="8"/>
  <c r="N104" i="8"/>
  <c r="N115" i="8"/>
  <c r="P83" i="8"/>
  <c r="Q37" i="8"/>
  <c r="I31" i="8"/>
  <c r="J31" i="8" s="1"/>
  <c r="K31" i="8" s="1"/>
  <c r="J28" i="8"/>
  <c r="M94" i="7"/>
  <c r="O125" i="7"/>
  <c r="Q53" i="7"/>
  <c r="M100" i="7"/>
  <c r="N2" i="7"/>
  <c r="M58" i="7"/>
  <c r="M90" i="7"/>
  <c r="M50" i="7"/>
  <c r="M49" i="7"/>
  <c r="M59" i="7"/>
  <c r="M69" i="7"/>
  <c r="M79" i="7"/>
  <c r="M122" i="7"/>
  <c r="N115" i="7"/>
  <c r="M111" i="7"/>
  <c r="M121" i="7"/>
  <c r="N37" i="7"/>
  <c r="M112" i="7"/>
  <c r="N62" i="7"/>
  <c r="N73" i="7"/>
  <c r="N3" i="7"/>
  <c r="N83" i="7"/>
  <c r="I12" i="7"/>
  <c r="J12" i="7" s="1"/>
  <c r="K12" i="7" s="1"/>
  <c r="J9" i="7"/>
  <c r="I39" i="7"/>
  <c r="I18" i="7"/>
  <c r="I28" i="7"/>
  <c r="I6" i="7"/>
  <c r="M104" i="7"/>
  <c r="I4" i="7"/>
  <c r="N83" i="6"/>
  <c r="P53" i="6"/>
  <c r="M104" i="6"/>
  <c r="I12" i="6"/>
  <c r="J12" i="6" s="1"/>
  <c r="K12" i="6" s="1"/>
  <c r="J9" i="6"/>
  <c r="I6" i="6"/>
  <c r="I18" i="6"/>
  <c r="I39" i="6"/>
  <c r="I28" i="6"/>
  <c r="N3" i="6"/>
  <c r="M115" i="6"/>
  <c r="N100" i="6"/>
  <c r="O2" i="6"/>
  <c r="N90" i="6"/>
  <c r="N50" i="6"/>
  <c r="N69" i="6"/>
  <c r="N59" i="6"/>
  <c r="N49" i="6"/>
  <c r="N58" i="6"/>
  <c r="N79" i="6"/>
  <c r="N122" i="6"/>
  <c r="P62" i="6"/>
  <c r="I4" i="6"/>
  <c r="M94" i="6"/>
  <c r="O73" i="6"/>
  <c r="O125" i="6"/>
  <c r="M121" i="6"/>
  <c r="M111" i="6"/>
  <c r="N37" i="6"/>
  <c r="K9" i="5"/>
  <c r="J18" i="5"/>
  <c r="J15" i="5" s="1"/>
  <c r="J6" i="5"/>
  <c r="P100" i="5"/>
  <c r="P79" i="5"/>
  <c r="Q2" i="5"/>
  <c r="P69" i="5"/>
  <c r="P50" i="5"/>
  <c r="P59" i="5"/>
  <c r="P90" i="5"/>
  <c r="P58" i="5"/>
  <c r="P49" i="5"/>
  <c r="P122" i="5"/>
  <c r="N94" i="5"/>
  <c r="J4" i="5"/>
  <c r="I24" i="5"/>
  <c r="I13" i="5"/>
  <c r="P112" i="5"/>
  <c r="J28" i="5"/>
  <c r="M104" i="5"/>
  <c r="N3" i="5"/>
  <c r="N37" i="5"/>
  <c r="M121" i="5"/>
  <c r="M111" i="5"/>
  <c r="N83" i="5"/>
  <c r="I21" i="5"/>
  <c r="J21" i="5" s="1"/>
  <c r="K21" i="5" s="1"/>
  <c r="M115" i="5"/>
  <c r="P62" i="5"/>
  <c r="O73" i="5"/>
  <c r="I25" i="5"/>
  <c r="I31" i="5" s="1"/>
  <c r="J31" i="5" s="1"/>
  <c r="K31" i="5" s="1"/>
  <c r="I15" i="5"/>
  <c r="I48" i="5"/>
  <c r="I36" i="5"/>
  <c r="O125" i="5"/>
  <c r="I42" i="5"/>
  <c r="O53" i="5"/>
  <c r="N115" i="4"/>
  <c r="I24" i="4"/>
  <c r="J4" i="4"/>
  <c r="I13" i="4"/>
  <c r="O3" i="4"/>
  <c r="Q2" i="4"/>
  <c r="P59" i="4"/>
  <c r="P79" i="4"/>
  <c r="P100" i="4"/>
  <c r="P58" i="4"/>
  <c r="P49" i="4"/>
  <c r="P50" i="4"/>
  <c r="P122" i="4"/>
  <c r="P69" i="4"/>
  <c r="P90" i="4"/>
  <c r="M53" i="4"/>
  <c r="N121" i="4"/>
  <c r="N111" i="4"/>
  <c r="O37" i="4"/>
  <c r="P104" i="4"/>
  <c r="P73" i="4"/>
  <c r="O83" i="4"/>
  <c r="N94" i="4"/>
  <c r="M125" i="4"/>
  <c r="M62" i="4"/>
  <c r="I28" i="4"/>
  <c r="I6" i="4"/>
  <c r="I12" i="4" s="1"/>
  <c r="J12" i="4" s="1"/>
  <c r="K12" i="4" s="1"/>
  <c r="I39" i="4"/>
  <c r="I18" i="4"/>
  <c r="J9" i="4"/>
  <c r="I43" i="9" l="1"/>
  <c r="I30" i="9"/>
  <c r="I89" i="9"/>
  <c r="J39" i="9"/>
  <c r="J25" i="9"/>
  <c r="K28" i="9"/>
  <c r="P53" i="9"/>
  <c r="J50" i="9"/>
  <c r="J59" i="9"/>
  <c r="J68" i="9"/>
  <c r="P94" i="9"/>
  <c r="P73" i="9"/>
  <c r="P121" i="9"/>
  <c r="Q37" i="9"/>
  <c r="P111" i="9"/>
  <c r="O3" i="9"/>
  <c r="P100" i="9"/>
  <c r="P79" i="9"/>
  <c r="Q2" i="9"/>
  <c r="P90" i="9"/>
  <c r="P69" i="9"/>
  <c r="P58" i="9"/>
  <c r="P59" i="9"/>
  <c r="P50" i="9"/>
  <c r="P49" i="9"/>
  <c r="P122" i="9"/>
  <c r="P112" i="9"/>
  <c r="K24" i="9"/>
  <c r="J32" i="9"/>
  <c r="L9" i="9"/>
  <c r="K18" i="9"/>
  <c r="K15" i="9" s="1"/>
  <c r="K6" i="9"/>
  <c r="K22" i="9"/>
  <c r="K17" i="9" s="1"/>
  <c r="L4" i="9"/>
  <c r="K13" i="9"/>
  <c r="I68" i="9"/>
  <c r="I20" i="9"/>
  <c r="J48" i="9"/>
  <c r="J11" i="9"/>
  <c r="I110" i="9"/>
  <c r="P62" i="9"/>
  <c r="P83" i="9"/>
  <c r="I38" i="9"/>
  <c r="I41" i="9" s="1"/>
  <c r="I50" i="9"/>
  <c r="I51" i="9" s="1"/>
  <c r="I59" i="9"/>
  <c r="I27" i="9"/>
  <c r="I17" i="9"/>
  <c r="Q125" i="9"/>
  <c r="J17" i="9"/>
  <c r="I11" i="9"/>
  <c r="I42" i="9"/>
  <c r="P104" i="9"/>
  <c r="J25" i="8"/>
  <c r="J39" i="8"/>
  <c r="K28" i="8"/>
  <c r="J32" i="8"/>
  <c r="K24" i="8"/>
  <c r="I89" i="8"/>
  <c r="I30" i="8"/>
  <c r="L9" i="8"/>
  <c r="K6" i="8"/>
  <c r="K18" i="8"/>
  <c r="K15" i="8" s="1"/>
  <c r="P62" i="8"/>
  <c r="O115" i="8"/>
  <c r="O50" i="8"/>
  <c r="O79" i="8"/>
  <c r="P2" i="8"/>
  <c r="O100" i="8"/>
  <c r="O90" i="8"/>
  <c r="O58" i="8"/>
  <c r="O49" i="8"/>
  <c r="O59" i="8"/>
  <c r="O69" i="8"/>
  <c r="O112" i="8"/>
  <c r="O122" i="8"/>
  <c r="O111" i="8"/>
  <c r="O121" i="8"/>
  <c r="J59" i="8"/>
  <c r="J50" i="8"/>
  <c r="I51" i="8"/>
  <c r="I17" i="8"/>
  <c r="I38" i="8"/>
  <c r="I59" i="8"/>
  <c r="I50" i="8"/>
  <c r="I27" i="8"/>
  <c r="P3" i="8"/>
  <c r="R37" i="8"/>
  <c r="I41" i="8"/>
  <c r="I110" i="8"/>
  <c r="O104" i="8"/>
  <c r="J80" i="8"/>
  <c r="J70" i="8"/>
  <c r="J68" i="8"/>
  <c r="J71" i="8" s="1"/>
  <c r="J74" i="8" s="1"/>
  <c r="J20" i="8"/>
  <c r="P73" i="8"/>
  <c r="I68" i="8"/>
  <c r="I20" i="8"/>
  <c r="O94" i="8"/>
  <c r="Q83" i="8"/>
  <c r="Q125" i="8"/>
  <c r="L4" i="8"/>
  <c r="K22" i="8"/>
  <c r="K17" i="8" s="1"/>
  <c r="K13" i="8"/>
  <c r="K8" i="8" s="1"/>
  <c r="J48" i="8"/>
  <c r="J11" i="8"/>
  <c r="I42" i="8"/>
  <c r="I43" i="8"/>
  <c r="N104" i="7"/>
  <c r="R53" i="7"/>
  <c r="O83" i="7"/>
  <c r="K9" i="7"/>
  <c r="J18" i="7"/>
  <c r="J15" i="7" s="1"/>
  <c r="J6" i="7"/>
  <c r="O62" i="7"/>
  <c r="N90" i="7"/>
  <c r="O2" i="7"/>
  <c r="N100" i="7"/>
  <c r="N49" i="7"/>
  <c r="N59" i="7"/>
  <c r="N69" i="7"/>
  <c r="N58" i="7"/>
  <c r="N50" i="7"/>
  <c r="N79" i="7"/>
  <c r="N122" i="7"/>
  <c r="N112" i="7"/>
  <c r="J4" i="7"/>
  <c r="I24" i="7"/>
  <c r="I13" i="7"/>
  <c r="N121" i="7"/>
  <c r="O37" i="7"/>
  <c r="N111" i="7"/>
  <c r="I15" i="7"/>
  <c r="I21" i="7" s="1"/>
  <c r="J21" i="7" s="1"/>
  <c r="K21" i="7" s="1"/>
  <c r="I48" i="7"/>
  <c r="I25" i="7"/>
  <c r="I36" i="7"/>
  <c r="P125" i="7"/>
  <c r="I31" i="7"/>
  <c r="J31" i="7" s="1"/>
  <c r="K31" i="7" s="1"/>
  <c r="J28" i="7"/>
  <c r="O3" i="7"/>
  <c r="O73" i="7"/>
  <c r="I42" i="7"/>
  <c r="O115" i="7"/>
  <c r="N94" i="7"/>
  <c r="N121" i="6"/>
  <c r="N111" i="6"/>
  <c r="O37" i="6"/>
  <c r="N104" i="6"/>
  <c r="P73" i="6"/>
  <c r="K9" i="6"/>
  <c r="J18" i="6"/>
  <c r="J15" i="6" s="1"/>
  <c r="J6" i="6"/>
  <c r="P125" i="6"/>
  <c r="Q62" i="6"/>
  <c r="I42" i="6"/>
  <c r="N94" i="6"/>
  <c r="J4" i="6"/>
  <c r="I24" i="6"/>
  <c r="I13" i="6"/>
  <c r="O100" i="6"/>
  <c r="P2" i="6"/>
  <c r="O79" i="6"/>
  <c r="O69" i="6"/>
  <c r="O49" i="6"/>
  <c r="O50" i="6"/>
  <c r="O90" i="6"/>
  <c r="O58" i="6"/>
  <c r="O59" i="6"/>
  <c r="O122" i="6"/>
  <c r="O112" i="6"/>
  <c r="N115" i="6"/>
  <c r="O3" i="6"/>
  <c r="I31" i="6"/>
  <c r="J31" i="6" s="1"/>
  <c r="K31" i="6" s="1"/>
  <c r="J28" i="6"/>
  <c r="Q53" i="6"/>
  <c r="I25" i="6"/>
  <c r="I36" i="6"/>
  <c r="I15" i="6"/>
  <c r="I21" i="6" s="1"/>
  <c r="J21" i="6" s="1"/>
  <c r="K21" i="6" s="1"/>
  <c r="I48" i="6"/>
  <c r="O83" i="6"/>
  <c r="Q100" i="5"/>
  <c r="Q79" i="5"/>
  <c r="R2" i="5"/>
  <c r="Q69" i="5"/>
  <c r="Q50" i="5"/>
  <c r="Q49" i="5"/>
  <c r="Q59" i="5"/>
  <c r="Q58" i="5"/>
  <c r="Q90" i="5"/>
  <c r="Q101" i="5"/>
  <c r="Q91" i="5"/>
  <c r="Q122" i="5"/>
  <c r="Q112" i="5"/>
  <c r="P53" i="5"/>
  <c r="I68" i="5"/>
  <c r="O3" i="5"/>
  <c r="J22" i="5"/>
  <c r="J17" i="5" s="1"/>
  <c r="K4" i="5"/>
  <c r="J13" i="5"/>
  <c r="J8" i="5" s="1"/>
  <c r="I89" i="5"/>
  <c r="O94" i="5"/>
  <c r="O83" i="5"/>
  <c r="I110" i="5"/>
  <c r="J48" i="5"/>
  <c r="J11" i="5"/>
  <c r="P125" i="5"/>
  <c r="Q62" i="5"/>
  <c r="N121" i="5"/>
  <c r="N111" i="5"/>
  <c r="O37" i="5"/>
  <c r="I22" i="5"/>
  <c r="I8" i="5"/>
  <c r="I32" i="5"/>
  <c r="J68" i="5"/>
  <c r="N104" i="5"/>
  <c r="J39" i="5"/>
  <c r="K28" i="5"/>
  <c r="J25" i="5"/>
  <c r="P73" i="5"/>
  <c r="N115" i="5"/>
  <c r="J24" i="5"/>
  <c r="I35" i="5"/>
  <c r="J35" i="5" s="1"/>
  <c r="K35" i="5" s="1"/>
  <c r="L35" i="5" s="1"/>
  <c r="M35" i="5" s="1"/>
  <c r="N35" i="5" s="1"/>
  <c r="O35" i="5" s="1"/>
  <c r="P35" i="5" s="1"/>
  <c r="Q35" i="5" s="1"/>
  <c r="R35" i="5" s="1"/>
  <c r="K18" i="5"/>
  <c r="K15" i="5" s="1"/>
  <c r="K6" i="5"/>
  <c r="L9" i="5"/>
  <c r="J18" i="4"/>
  <c r="J15" i="4" s="1"/>
  <c r="K9" i="4"/>
  <c r="J6" i="4"/>
  <c r="Q104" i="4"/>
  <c r="R2" i="4"/>
  <c r="Q100" i="4"/>
  <c r="Q101" i="4"/>
  <c r="Q50" i="4"/>
  <c r="Q59" i="4"/>
  <c r="Q79" i="4"/>
  <c r="Q49" i="4"/>
  <c r="Q58" i="4"/>
  <c r="Q69" i="4"/>
  <c r="Q91" i="4"/>
  <c r="Q122" i="4"/>
  <c r="Q90" i="4"/>
  <c r="Q112" i="4"/>
  <c r="N125" i="4"/>
  <c r="P3" i="4"/>
  <c r="O94" i="4"/>
  <c r="I8" i="4"/>
  <c r="I22" i="4"/>
  <c r="I32" i="4"/>
  <c r="I42" i="4"/>
  <c r="P37" i="4"/>
  <c r="O121" i="4"/>
  <c r="O111" i="4"/>
  <c r="I36" i="4"/>
  <c r="I48" i="4"/>
  <c r="I11" i="4"/>
  <c r="I15" i="4"/>
  <c r="I21" i="4" s="1"/>
  <c r="J21" i="4" s="1"/>
  <c r="K21" i="4" s="1"/>
  <c r="I25" i="4"/>
  <c r="J22" i="4"/>
  <c r="K4" i="4"/>
  <c r="J13" i="4"/>
  <c r="J8" i="4" s="1"/>
  <c r="J28" i="4"/>
  <c r="P83" i="4"/>
  <c r="J24" i="4"/>
  <c r="I35" i="4"/>
  <c r="J35" i="4" s="1"/>
  <c r="K35" i="4" s="1"/>
  <c r="L35" i="4" s="1"/>
  <c r="M35" i="4" s="1"/>
  <c r="N35" i="4" s="1"/>
  <c r="O35" i="4" s="1"/>
  <c r="P35" i="4" s="1"/>
  <c r="Q35" i="4" s="1"/>
  <c r="R35" i="4" s="1"/>
  <c r="N53" i="4"/>
  <c r="O115" i="4"/>
  <c r="N62" i="4"/>
  <c r="Q73" i="4"/>
  <c r="I54" i="9" l="1"/>
  <c r="K80" i="9"/>
  <c r="K70" i="9"/>
  <c r="I101" i="9"/>
  <c r="I91" i="9"/>
  <c r="I92" i="9" s="1"/>
  <c r="J27" i="9"/>
  <c r="J43" i="9"/>
  <c r="J36" i="9" s="1"/>
  <c r="Q121" i="9"/>
  <c r="R37" i="9"/>
  <c r="Q111" i="9"/>
  <c r="L24" i="9"/>
  <c r="K32" i="9"/>
  <c r="Q73" i="9"/>
  <c r="I112" i="9"/>
  <c r="I113" i="9" s="1"/>
  <c r="I122" i="9"/>
  <c r="J80" i="9"/>
  <c r="J70" i="9"/>
  <c r="J71" i="9" s="1"/>
  <c r="J74" i="9" s="1"/>
  <c r="R125" i="9"/>
  <c r="Q83" i="9"/>
  <c r="J51" i="9"/>
  <c r="J54" i="9" s="1"/>
  <c r="K48" i="9"/>
  <c r="P3" i="9"/>
  <c r="Q94" i="9"/>
  <c r="L22" i="9"/>
  <c r="M4" i="9"/>
  <c r="L13" i="9"/>
  <c r="L8" i="9" s="1"/>
  <c r="R2" i="9"/>
  <c r="Q100" i="9"/>
  <c r="Q79" i="9"/>
  <c r="Q50" i="9"/>
  <c r="Q101" i="9"/>
  <c r="Q90" i="9"/>
  <c r="Q49" i="9"/>
  <c r="Q69" i="9"/>
  <c r="Q59" i="9"/>
  <c r="Q58" i="9"/>
  <c r="Q122" i="9"/>
  <c r="Q91" i="9"/>
  <c r="Q112" i="9"/>
  <c r="K68" i="9"/>
  <c r="K20" i="9"/>
  <c r="J20" i="9"/>
  <c r="L28" i="9"/>
  <c r="K25" i="9"/>
  <c r="K39" i="9"/>
  <c r="Q104" i="9"/>
  <c r="K8" i="9"/>
  <c r="K11" i="9" s="1"/>
  <c r="Q53" i="9"/>
  <c r="I80" i="9"/>
  <c r="I70" i="9"/>
  <c r="Q62" i="9"/>
  <c r="I71" i="9"/>
  <c r="L12" i="9"/>
  <c r="M9" i="9"/>
  <c r="L18" i="9"/>
  <c r="L6" i="9"/>
  <c r="J89" i="9"/>
  <c r="J30" i="9"/>
  <c r="P115" i="8"/>
  <c r="K32" i="8"/>
  <c r="L24" i="8"/>
  <c r="P94" i="8"/>
  <c r="R125" i="8"/>
  <c r="I80" i="8"/>
  <c r="I70" i="8"/>
  <c r="I71" i="8" s="1"/>
  <c r="Q73" i="8"/>
  <c r="I54" i="8"/>
  <c r="K59" i="8"/>
  <c r="K50" i="8"/>
  <c r="I101" i="8"/>
  <c r="I91" i="8"/>
  <c r="I92" i="8" s="1"/>
  <c r="K68" i="8"/>
  <c r="K20" i="8"/>
  <c r="K39" i="8"/>
  <c r="K25" i="8"/>
  <c r="L28" i="8"/>
  <c r="R83" i="8"/>
  <c r="P100" i="8"/>
  <c r="P50" i="8"/>
  <c r="P90" i="8"/>
  <c r="P79" i="8"/>
  <c r="Q2" i="8"/>
  <c r="P69" i="8"/>
  <c r="P112" i="8"/>
  <c r="P58" i="8"/>
  <c r="P49" i="8"/>
  <c r="P59" i="8"/>
  <c r="P122" i="8"/>
  <c r="P121" i="8"/>
  <c r="P111" i="8"/>
  <c r="K48" i="8"/>
  <c r="K51" i="8" s="1"/>
  <c r="K54" i="8" s="1"/>
  <c r="K11" i="8"/>
  <c r="P104" i="8"/>
  <c r="Q3" i="8"/>
  <c r="J51" i="8"/>
  <c r="J54" i="8" s="1"/>
  <c r="I113" i="8"/>
  <c r="Q62" i="8"/>
  <c r="J43" i="8"/>
  <c r="J36" i="8" s="1"/>
  <c r="J27" i="8"/>
  <c r="K80" i="8"/>
  <c r="K70" i="8"/>
  <c r="M4" i="8"/>
  <c r="L22" i="8"/>
  <c r="L13" i="8"/>
  <c r="I112" i="8"/>
  <c r="I122" i="8"/>
  <c r="L18" i="8"/>
  <c r="M9" i="8"/>
  <c r="L6" i="8"/>
  <c r="L12" i="8" s="1"/>
  <c r="J89" i="8"/>
  <c r="J30" i="8"/>
  <c r="L9" i="7"/>
  <c r="K18" i="7"/>
  <c r="K15" i="7" s="1"/>
  <c r="K6" i="7"/>
  <c r="O94" i="7"/>
  <c r="P3" i="7"/>
  <c r="I35" i="7"/>
  <c r="J35" i="7" s="1"/>
  <c r="K35" i="7" s="1"/>
  <c r="L35" i="7" s="1"/>
  <c r="M35" i="7" s="1"/>
  <c r="N35" i="7" s="1"/>
  <c r="O35" i="7" s="1"/>
  <c r="P35" i="7" s="1"/>
  <c r="Q35" i="7" s="1"/>
  <c r="R35" i="7" s="1"/>
  <c r="J24" i="7"/>
  <c r="J68" i="7"/>
  <c r="K4" i="7"/>
  <c r="J22" i="7"/>
  <c r="J17" i="7" s="1"/>
  <c r="J20" i="7" s="1"/>
  <c r="J13" i="7"/>
  <c r="J8" i="7" s="1"/>
  <c r="O121" i="7"/>
  <c r="P37" i="7"/>
  <c r="O111" i="7"/>
  <c r="P62" i="7"/>
  <c r="J39" i="7"/>
  <c r="K28" i="7"/>
  <c r="J25" i="7"/>
  <c r="P115" i="7"/>
  <c r="P83" i="7"/>
  <c r="P73" i="7"/>
  <c r="I110" i="7"/>
  <c r="I68" i="7"/>
  <c r="O100" i="7"/>
  <c r="O79" i="7"/>
  <c r="P2" i="7"/>
  <c r="O49" i="7"/>
  <c r="O58" i="7"/>
  <c r="O69" i="7"/>
  <c r="O59" i="7"/>
  <c r="O50" i="7"/>
  <c r="O90" i="7"/>
  <c r="O122" i="7"/>
  <c r="O112" i="7"/>
  <c r="Q125" i="7"/>
  <c r="I89" i="7"/>
  <c r="I32" i="7"/>
  <c r="I22" i="7"/>
  <c r="I8" i="7"/>
  <c r="J48" i="7"/>
  <c r="J11" i="7"/>
  <c r="O104" i="7"/>
  <c r="R53" i="6"/>
  <c r="O94" i="6"/>
  <c r="K18" i="6"/>
  <c r="K15" i="6" s="1"/>
  <c r="K6" i="6"/>
  <c r="L9" i="6"/>
  <c r="P83" i="6"/>
  <c r="Q73" i="6"/>
  <c r="I110" i="6"/>
  <c r="P3" i="6"/>
  <c r="J24" i="6"/>
  <c r="I35" i="6"/>
  <c r="J35" i="6" s="1"/>
  <c r="K35" i="6" s="1"/>
  <c r="L35" i="6" s="1"/>
  <c r="M35" i="6" s="1"/>
  <c r="N35" i="6" s="1"/>
  <c r="O35" i="6" s="1"/>
  <c r="P35" i="6" s="1"/>
  <c r="Q35" i="6" s="1"/>
  <c r="R35" i="6" s="1"/>
  <c r="Q125" i="6"/>
  <c r="O121" i="6"/>
  <c r="O111" i="6"/>
  <c r="P37" i="6"/>
  <c r="J39" i="6"/>
  <c r="K28" i="6"/>
  <c r="J25" i="6"/>
  <c r="I68" i="6"/>
  <c r="I89" i="6"/>
  <c r="J22" i="6"/>
  <c r="J17" i="6" s="1"/>
  <c r="K4" i="6"/>
  <c r="J13" i="6"/>
  <c r="J8" i="6" s="1"/>
  <c r="J11" i="6"/>
  <c r="J48" i="6"/>
  <c r="Q2" i="6"/>
  <c r="P100" i="6"/>
  <c r="P79" i="6"/>
  <c r="P58" i="6"/>
  <c r="P50" i="6"/>
  <c r="P59" i="6"/>
  <c r="P49" i="6"/>
  <c r="P69" i="6"/>
  <c r="P90" i="6"/>
  <c r="P122" i="6"/>
  <c r="P112" i="6"/>
  <c r="R62" i="6"/>
  <c r="I22" i="6"/>
  <c r="I8" i="6"/>
  <c r="I32" i="6"/>
  <c r="O104" i="6"/>
  <c r="O115" i="6"/>
  <c r="J68" i="6"/>
  <c r="J20" i="6"/>
  <c r="K22" i="5"/>
  <c r="K17" i="5" s="1"/>
  <c r="L4" i="5"/>
  <c r="K13" i="5"/>
  <c r="J80" i="5"/>
  <c r="J70" i="5"/>
  <c r="J71" i="5" s="1"/>
  <c r="J74" i="5" s="1"/>
  <c r="O104" i="5"/>
  <c r="K68" i="5"/>
  <c r="K20" i="5"/>
  <c r="J89" i="5"/>
  <c r="I43" i="5"/>
  <c r="R62" i="5"/>
  <c r="J50" i="5"/>
  <c r="J59" i="5"/>
  <c r="K24" i="5"/>
  <c r="J32" i="5"/>
  <c r="L28" i="5"/>
  <c r="K39" i="5"/>
  <c r="K25" i="5"/>
  <c r="I50" i="5"/>
  <c r="I51" i="5" s="1"/>
  <c r="I27" i="5"/>
  <c r="I59" i="5"/>
  <c r="I38" i="5"/>
  <c r="I17" i="5"/>
  <c r="I11" i="5"/>
  <c r="P83" i="5"/>
  <c r="O115" i="5"/>
  <c r="Q53" i="5"/>
  <c r="Q125" i="5"/>
  <c r="P94" i="5"/>
  <c r="O121" i="5"/>
  <c r="O111" i="5"/>
  <c r="P37" i="5"/>
  <c r="R79" i="5"/>
  <c r="R69" i="5"/>
  <c r="R90" i="5"/>
  <c r="R49" i="5"/>
  <c r="R100" i="5"/>
  <c r="R58" i="5"/>
  <c r="R101" i="5"/>
  <c r="R59" i="5"/>
  <c r="R50" i="5"/>
  <c r="R122" i="5"/>
  <c r="R91" i="5"/>
  <c r="R112" i="5"/>
  <c r="J20" i="5"/>
  <c r="J51" i="5"/>
  <c r="J54" i="5" s="1"/>
  <c r="P3" i="5"/>
  <c r="L6" i="5"/>
  <c r="L12" i="5"/>
  <c r="L18" i="5"/>
  <c r="M9" i="5"/>
  <c r="K48" i="5"/>
  <c r="Q73" i="5"/>
  <c r="K24" i="4"/>
  <c r="J32" i="4"/>
  <c r="P121" i="4"/>
  <c r="P111" i="4"/>
  <c r="Q37" i="4"/>
  <c r="K22" i="4"/>
  <c r="L4" i="4"/>
  <c r="K13" i="4"/>
  <c r="K8" i="4" s="1"/>
  <c r="P94" i="4"/>
  <c r="O62" i="4"/>
  <c r="I51" i="4"/>
  <c r="I59" i="4"/>
  <c r="I38" i="4"/>
  <c r="I17" i="4"/>
  <c r="I50" i="4"/>
  <c r="I27" i="4"/>
  <c r="J11" i="4"/>
  <c r="J48" i="4"/>
  <c r="J51" i="4" s="1"/>
  <c r="J54" i="4" s="1"/>
  <c r="R73" i="4"/>
  <c r="J17" i="4"/>
  <c r="Q83" i="4"/>
  <c r="I89" i="4"/>
  <c r="I30" i="4"/>
  <c r="Q3" i="4"/>
  <c r="R58" i="4"/>
  <c r="R59" i="4"/>
  <c r="R79" i="4"/>
  <c r="R49" i="4"/>
  <c r="R101" i="4"/>
  <c r="R50" i="4"/>
  <c r="R100" i="4"/>
  <c r="R122" i="4"/>
  <c r="R90" i="4"/>
  <c r="R91" i="4"/>
  <c r="R69" i="4"/>
  <c r="R112" i="4"/>
  <c r="I68" i="4"/>
  <c r="I20" i="4"/>
  <c r="I43" i="4"/>
  <c r="O125" i="4"/>
  <c r="J25" i="4"/>
  <c r="J39" i="4"/>
  <c r="K28" i="4"/>
  <c r="R104" i="4"/>
  <c r="P115" i="4"/>
  <c r="I31" i="4"/>
  <c r="J31" i="4" s="1"/>
  <c r="K31" i="4" s="1"/>
  <c r="O53" i="4"/>
  <c r="J50" i="4"/>
  <c r="J59" i="4"/>
  <c r="I110" i="4"/>
  <c r="K18" i="4"/>
  <c r="K15" i="4" s="1"/>
  <c r="K6" i="4"/>
  <c r="L9" i="4"/>
  <c r="J68" i="4"/>
  <c r="J20" i="4"/>
  <c r="K71" i="9" l="1"/>
  <c r="K74" i="9" s="1"/>
  <c r="M28" i="9"/>
  <c r="L25" i="9"/>
  <c r="L39" i="9"/>
  <c r="I74" i="9"/>
  <c r="R100" i="9"/>
  <c r="R50" i="9"/>
  <c r="R79" i="9"/>
  <c r="R58" i="9"/>
  <c r="R90" i="9"/>
  <c r="R49" i="9"/>
  <c r="R69" i="9"/>
  <c r="R101" i="9"/>
  <c r="R59" i="9"/>
  <c r="R91" i="9"/>
  <c r="R122" i="9"/>
  <c r="R112" i="9"/>
  <c r="I116" i="9"/>
  <c r="R62" i="9"/>
  <c r="L15" i="9"/>
  <c r="L21" i="9" s="1"/>
  <c r="R53" i="9"/>
  <c r="K89" i="9"/>
  <c r="R111" i="9"/>
  <c r="R121" i="9"/>
  <c r="R94" i="9"/>
  <c r="R83" i="9"/>
  <c r="I95" i="9"/>
  <c r="K43" i="9"/>
  <c r="K36" i="9" s="1"/>
  <c r="K27" i="9"/>
  <c r="K30" i="9" s="1"/>
  <c r="R104" i="9"/>
  <c r="N4" i="9"/>
  <c r="M22" i="9"/>
  <c r="M13" i="9"/>
  <c r="R73" i="9"/>
  <c r="J91" i="9"/>
  <c r="J92" i="9" s="1"/>
  <c r="J101" i="9"/>
  <c r="L32" i="9"/>
  <c r="M24" i="9"/>
  <c r="L17" i="9"/>
  <c r="N9" i="9"/>
  <c r="M18" i="9"/>
  <c r="J110" i="9"/>
  <c r="J113" i="9" s="1"/>
  <c r="J116" i="9" s="1"/>
  <c r="J41" i="9"/>
  <c r="J42" i="9"/>
  <c r="K59" i="9"/>
  <c r="K50" i="9"/>
  <c r="K51" i="9" s="1"/>
  <c r="Q3" i="9"/>
  <c r="L59" i="9"/>
  <c r="L50" i="9"/>
  <c r="L48" i="9"/>
  <c r="L11" i="9"/>
  <c r="I74" i="8"/>
  <c r="I95" i="8"/>
  <c r="I116" i="8"/>
  <c r="L25" i="8"/>
  <c r="L39" i="8"/>
  <c r="L31" i="8"/>
  <c r="M28" i="8"/>
  <c r="N4" i="8"/>
  <c r="M22" i="8"/>
  <c r="M13" i="8"/>
  <c r="M6" i="8" s="1"/>
  <c r="R62" i="8"/>
  <c r="R73" i="8"/>
  <c r="K89" i="8"/>
  <c r="K30" i="8"/>
  <c r="J91" i="8"/>
  <c r="J92" i="8" s="1"/>
  <c r="J101" i="8"/>
  <c r="K43" i="8"/>
  <c r="K36" i="8" s="1"/>
  <c r="K27" i="8"/>
  <c r="L15" i="8"/>
  <c r="L21" i="8"/>
  <c r="Q94" i="8"/>
  <c r="R3" i="8"/>
  <c r="L48" i="8"/>
  <c r="L8" i="8"/>
  <c r="L11" i="8" s="1"/>
  <c r="J42" i="8"/>
  <c r="J41" i="8"/>
  <c r="J110" i="8"/>
  <c r="J113" i="8" s="1"/>
  <c r="J116" i="8" s="1"/>
  <c r="Q104" i="8"/>
  <c r="Q115" i="8"/>
  <c r="Q100" i="8"/>
  <c r="Q50" i="8"/>
  <c r="Q79" i="8"/>
  <c r="Q69" i="8"/>
  <c r="R2" i="8"/>
  <c r="Q90" i="8"/>
  <c r="Q112" i="8"/>
  <c r="Q91" i="8"/>
  <c r="Q58" i="8"/>
  <c r="Q49" i="8"/>
  <c r="Q101" i="8"/>
  <c r="Q59" i="8"/>
  <c r="Q122" i="8"/>
  <c r="Q111" i="8"/>
  <c r="Q121" i="8"/>
  <c r="M24" i="8"/>
  <c r="L32" i="8"/>
  <c r="M12" i="8"/>
  <c r="N9" i="8"/>
  <c r="M18" i="8"/>
  <c r="L17" i="8"/>
  <c r="K71" i="8"/>
  <c r="K74" i="8" s="1"/>
  <c r="Q73" i="7"/>
  <c r="Q3" i="7"/>
  <c r="L28" i="7"/>
  <c r="K25" i="7"/>
  <c r="K39" i="7"/>
  <c r="J59" i="7"/>
  <c r="J50" i="7"/>
  <c r="J51" i="7" s="1"/>
  <c r="J54" i="7" s="1"/>
  <c r="I43" i="7"/>
  <c r="Q62" i="7"/>
  <c r="R125" i="7"/>
  <c r="Q115" i="7"/>
  <c r="K48" i="7"/>
  <c r="J80" i="7"/>
  <c r="J70" i="7"/>
  <c r="J71" i="7" s="1"/>
  <c r="J74" i="7" s="1"/>
  <c r="Q83" i="7"/>
  <c r="I38" i="7"/>
  <c r="I27" i="7"/>
  <c r="I59" i="7"/>
  <c r="I50" i="7"/>
  <c r="I51" i="7" s="1"/>
  <c r="I17" i="7"/>
  <c r="I11" i="7"/>
  <c r="P121" i="7"/>
  <c r="P111" i="7"/>
  <c r="Q37" i="7"/>
  <c r="J32" i="7"/>
  <c r="K24" i="7"/>
  <c r="K68" i="7"/>
  <c r="K20" i="7"/>
  <c r="P104" i="7"/>
  <c r="K22" i="7"/>
  <c r="K17" i="7" s="1"/>
  <c r="L4" i="7"/>
  <c r="K13" i="7"/>
  <c r="P94" i="7"/>
  <c r="P79" i="7"/>
  <c r="P100" i="7"/>
  <c r="P69" i="7"/>
  <c r="Q2" i="7"/>
  <c r="P59" i="7"/>
  <c r="P50" i="7"/>
  <c r="P58" i="7"/>
  <c r="P90" i="7"/>
  <c r="P49" i="7"/>
  <c r="P122" i="7"/>
  <c r="P112" i="7"/>
  <c r="J89" i="7"/>
  <c r="L18" i="7"/>
  <c r="L6" i="7"/>
  <c r="M9" i="7"/>
  <c r="I43" i="6"/>
  <c r="J51" i="6"/>
  <c r="J54" i="6" s="1"/>
  <c r="K48" i="6"/>
  <c r="I38" i="6"/>
  <c r="I17" i="6"/>
  <c r="I27" i="6"/>
  <c r="I59" i="6"/>
  <c r="I50" i="6"/>
  <c r="I51" i="6" s="1"/>
  <c r="I11" i="6"/>
  <c r="J59" i="6"/>
  <c r="J50" i="6"/>
  <c r="P94" i="6"/>
  <c r="L4" i="6"/>
  <c r="K22" i="6"/>
  <c r="K17" i="6" s="1"/>
  <c r="K13" i="6"/>
  <c r="K8" i="6" s="1"/>
  <c r="J80" i="6"/>
  <c r="J70" i="6"/>
  <c r="L28" i="6"/>
  <c r="K25" i="6"/>
  <c r="K39" i="6"/>
  <c r="J32" i="6"/>
  <c r="K24" i="6"/>
  <c r="J71" i="6"/>
  <c r="J74" i="6" s="1"/>
  <c r="P115" i="6"/>
  <c r="R125" i="6"/>
  <c r="J89" i="6"/>
  <c r="R73" i="6"/>
  <c r="P104" i="6"/>
  <c r="Q83" i="6"/>
  <c r="K68" i="6"/>
  <c r="Q100" i="6"/>
  <c r="Q79" i="6"/>
  <c r="R2" i="6"/>
  <c r="Q69" i="6"/>
  <c r="Q50" i="6"/>
  <c r="Q58" i="6"/>
  <c r="Q49" i="6"/>
  <c r="Q101" i="6"/>
  <c r="Q59" i="6"/>
  <c r="Q90" i="6"/>
  <c r="Q122" i="6"/>
  <c r="Q91" i="6"/>
  <c r="Q112" i="6"/>
  <c r="P121" i="6"/>
  <c r="P111" i="6"/>
  <c r="Q37" i="6"/>
  <c r="Q3" i="6"/>
  <c r="L6" i="6"/>
  <c r="L12" i="6"/>
  <c r="M9" i="6"/>
  <c r="L18" i="6"/>
  <c r="J27" i="5"/>
  <c r="J43" i="5"/>
  <c r="I122" i="5"/>
  <c r="I112" i="5"/>
  <c r="I113" i="5" s="1"/>
  <c r="I41" i="5"/>
  <c r="L24" i="5"/>
  <c r="K32" i="5"/>
  <c r="Q3" i="5"/>
  <c r="Q83" i="5"/>
  <c r="K89" i="5"/>
  <c r="M18" i="5"/>
  <c r="N9" i="5"/>
  <c r="R53" i="5"/>
  <c r="I80" i="5"/>
  <c r="I70" i="5"/>
  <c r="I71" i="5" s="1"/>
  <c r="I20" i="5"/>
  <c r="L48" i="5"/>
  <c r="Q94" i="5"/>
  <c r="K8" i="5"/>
  <c r="P115" i="5"/>
  <c r="I101" i="5"/>
  <c r="I91" i="5"/>
  <c r="I92" i="5" s="1"/>
  <c r="I30" i="5"/>
  <c r="M4" i="5"/>
  <c r="L22" i="5"/>
  <c r="L13" i="5"/>
  <c r="L8" i="5" s="1"/>
  <c r="R125" i="5"/>
  <c r="P104" i="5"/>
  <c r="P121" i="5"/>
  <c r="P111" i="5"/>
  <c r="Q37" i="5"/>
  <c r="M28" i="5"/>
  <c r="L39" i="5"/>
  <c r="L25" i="5"/>
  <c r="L31" i="5" s="1"/>
  <c r="L15" i="5"/>
  <c r="R73" i="5"/>
  <c r="I54" i="5"/>
  <c r="K80" i="5"/>
  <c r="K70" i="5"/>
  <c r="K71" i="5" s="1"/>
  <c r="K74" i="5" s="1"/>
  <c r="I122" i="4"/>
  <c r="I112" i="4"/>
  <c r="I113" i="4" s="1"/>
  <c r="L22" i="4"/>
  <c r="M4" i="4"/>
  <c r="L13" i="4"/>
  <c r="M9" i="4"/>
  <c r="L18" i="4"/>
  <c r="L6" i="4"/>
  <c r="R3" i="4"/>
  <c r="K17" i="4"/>
  <c r="K48" i="4"/>
  <c r="K11" i="4"/>
  <c r="I54" i="4"/>
  <c r="Q115" i="4"/>
  <c r="I91" i="4"/>
  <c r="I92" i="4" s="1"/>
  <c r="I101" i="4"/>
  <c r="P53" i="4"/>
  <c r="K25" i="4"/>
  <c r="L28" i="4"/>
  <c r="K39" i="4"/>
  <c r="R37" i="4"/>
  <c r="Q121" i="4"/>
  <c r="Q111" i="4"/>
  <c r="J89" i="4"/>
  <c r="P62" i="4"/>
  <c r="P125" i="4"/>
  <c r="R83" i="4"/>
  <c r="Q94" i="4"/>
  <c r="J43" i="4"/>
  <c r="J27" i="4"/>
  <c r="J30" i="4" s="1"/>
  <c r="K20" i="4"/>
  <c r="K68" i="4"/>
  <c r="I41" i="4"/>
  <c r="J80" i="4"/>
  <c r="J70" i="4"/>
  <c r="J71" i="4" s="1"/>
  <c r="J74" i="4" s="1"/>
  <c r="I70" i="4"/>
  <c r="I71" i="4" s="1"/>
  <c r="I80" i="4"/>
  <c r="K59" i="4"/>
  <c r="K50" i="4"/>
  <c r="K32" i="4"/>
  <c r="L24" i="4"/>
  <c r="J95" i="9" l="1"/>
  <c r="K54" i="9"/>
  <c r="K42" i="9"/>
  <c r="K110" i="9"/>
  <c r="K113" i="9" s="1"/>
  <c r="K116" i="9" s="1"/>
  <c r="K41" i="9"/>
  <c r="M15" i="9"/>
  <c r="M21" i="9"/>
  <c r="M6" i="9"/>
  <c r="L89" i="9"/>
  <c r="L30" i="9"/>
  <c r="L70" i="9"/>
  <c r="L80" i="9"/>
  <c r="N22" i="9"/>
  <c r="O4" i="9"/>
  <c r="N13" i="9"/>
  <c r="N6" i="9" s="1"/>
  <c r="L51" i="9"/>
  <c r="L54" i="9" s="1"/>
  <c r="M32" i="9"/>
  <c r="N24" i="9"/>
  <c r="L31" i="9"/>
  <c r="K101" i="9"/>
  <c r="K91" i="9"/>
  <c r="K92" i="9" s="1"/>
  <c r="L20" i="9"/>
  <c r="L68" i="9"/>
  <c r="R3" i="9"/>
  <c r="N18" i="9"/>
  <c r="O9" i="9"/>
  <c r="L43" i="9"/>
  <c r="L27" i="9"/>
  <c r="M39" i="9"/>
  <c r="M25" i="9"/>
  <c r="M31" i="9" s="1"/>
  <c r="N28" i="9"/>
  <c r="J95" i="8"/>
  <c r="R50" i="8"/>
  <c r="R79" i="8"/>
  <c r="R112" i="8"/>
  <c r="R69" i="8"/>
  <c r="R58" i="8"/>
  <c r="R49" i="8"/>
  <c r="R90" i="8"/>
  <c r="R59" i="8"/>
  <c r="R91" i="8"/>
  <c r="R101" i="8"/>
  <c r="R100" i="8"/>
  <c r="R122" i="8"/>
  <c r="R111" i="8"/>
  <c r="R121" i="8"/>
  <c r="M39" i="8"/>
  <c r="N28" i="8"/>
  <c r="M31" i="8"/>
  <c r="M25" i="8"/>
  <c r="L89" i="8"/>
  <c r="R104" i="8"/>
  <c r="L68" i="8"/>
  <c r="L20" i="8"/>
  <c r="M48" i="8"/>
  <c r="M51" i="8" s="1"/>
  <c r="M54" i="8" s="1"/>
  <c r="M11" i="8"/>
  <c r="L70" i="8"/>
  <c r="L80" i="8"/>
  <c r="R115" i="8"/>
  <c r="M21" i="8"/>
  <c r="M15" i="8"/>
  <c r="R94" i="8"/>
  <c r="L43" i="8"/>
  <c r="L27" i="8"/>
  <c r="L51" i="8"/>
  <c r="K91" i="8"/>
  <c r="K92" i="8" s="1"/>
  <c r="K101" i="8"/>
  <c r="O9" i="8"/>
  <c r="N18" i="8"/>
  <c r="L59" i="8"/>
  <c r="L50" i="8"/>
  <c r="M32" i="8"/>
  <c r="N24" i="8"/>
  <c r="K41" i="8"/>
  <c r="K110" i="8"/>
  <c r="K113" i="8" s="1"/>
  <c r="K116" i="8" s="1"/>
  <c r="K42" i="8"/>
  <c r="N22" i="8"/>
  <c r="O4" i="8"/>
  <c r="N13" i="8"/>
  <c r="Q104" i="7"/>
  <c r="Q94" i="7"/>
  <c r="L11" i="7"/>
  <c r="L48" i="7"/>
  <c r="K80" i="7"/>
  <c r="K70" i="7"/>
  <c r="K71" i="7" s="1"/>
  <c r="K74" i="7" s="1"/>
  <c r="Q121" i="7"/>
  <c r="Q111" i="7"/>
  <c r="R37" i="7"/>
  <c r="I122" i="7"/>
  <c r="I112" i="7"/>
  <c r="I113" i="7" s="1"/>
  <c r="I41" i="7"/>
  <c r="K89" i="7"/>
  <c r="R83" i="7"/>
  <c r="Q100" i="7"/>
  <c r="Q79" i="7"/>
  <c r="Q69" i="7"/>
  <c r="Q59" i="7"/>
  <c r="R2" i="7"/>
  <c r="Q58" i="7"/>
  <c r="Q49" i="7"/>
  <c r="Q101" i="7"/>
  <c r="Q50" i="7"/>
  <c r="Q90" i="7"/>
  <c r="Q91" i="7"/>
  <c r="Q122" i="7"/>
  <c r="Q112" i="7"/>
  <c r="I54" i="7"/>
  <c r="R3" i="7"/>
  <c r="L15" i="7"/>
  <c r="R115" i="7"/>
  <c r="I80" i="7"/>
  <c r="I70" i="7"/>
  <c r="I71" i="7" s="1"/>
  <c r="I20" i="7"/>
  <c r="M18" i="7"/>
  <c r="N9" i="7"/>
  <c r="K8" i="7"/>
  <c r="L24" i="7"/>
  <c r="K32" i="7"/>
  <c r="R73" i="7"/>
  <c r="M28" i="7"/>
  <c r="L25" i="7"/>
  <c r="L39" i="7"/>
  <c r="L12" i="7"/>
  <c r="L22" i="7"/>
  <c r="M4" i="7"/>
  <c r="L13" i="7"/>
  <c r="L8" i="7" s="1"/>
  <c r="J27" i="7"/>
  <c r="J43" i="7"/>
  <c r="J36" i="7" s="1"/>
  <c r="I101" i="7"/>
  <c r="I91" i="7"/>
  <c r="I92" i="7" s="1"/>
  <c r="I30" i="7"/>
  <c r="R62" i="7"/>
  <c r="K80" i="6"/>
  <c r="K70" i="6"/>
  <c r="L22" i="6"/>
  <c r="M4" i="6"/>
  <c r="L13" i="6"/>
  <c r="L15" i="6"/>
  <c r="R3" i="6"/>
  <c r="K59" i="6"/>
  <c r="K50" i="6"/>
  <c r="L24" i="6"/>
  <c r="K32" i="6"/>
  <c r="Q115" i="6"/>
  <c r="K71" i="6"/>
  <c r="K74" i="6" s="1"/>
  <c r="I112" i="6"/>
  <c r="I113" i="6" s="1"/>
  <c r="I122" i="6"/>
  <c r="I41" i="6"/>
  <c r="I54" i="6"/>
  <c r="Q104" i="6"/>
  <c r="J43" i="6"/>
  <c r="J36" i="6" s="1"/>
  <c r="J27" i="6"/>
  <c r="M18" i="6"/>
  <c r="N9" i="6"/>
  <c r="K20" i="6"/>
  <c r="I80" i="6"/>
  <c r="I70" i="6"/>
  <c r="I71" i="6" s="1"/>
  <c r="I20" i="6"/>
  <c r="K11" i="6"/>
  <c r="Q121" i="6"/>
  <c r="Q111" i="6"/>
  <c r="R37" i="6"/>
  <c r="I101" i="6"/>
  <c r="I91" i="6"/>
  <c r="I92" i="6" s="1"/>
  <c r="I30" i="6"/>
  <c r="K89" i="6"/>
  <c r="Q94" i="6"/>
  <c r="M28" i="6"/>
  <c r="L25" i="6"/>
  <c r="L39" i="6"/>
  <c r="L48" i="6"/>
  <c r="R79" i="6"/>
  <c r="R50" i="6"/>
  <c r="R49" i="6"/>
  <c r="R101" i="6"/>
  <c r="R59" i="6"/>
  <c r="R58" i="6"/>
  <c r="R69" i="6"/>
  <c r="R90" i="6"/>
  <c r="R100" i="6"/>
  <c r="R91" i="6"/>
  <c r="R122" i="6"/>
  <c r="R112" i="6"/>
  <c r="R83" i="6"/>
  <c r="K51" i="6"/>
  <c r="K54" i="6" s="1"/>
  <c r="Q104" i="5"/>
  <c r="I95" i="5"/>
  <c r="I74" i="5"/>
  <c r="K27" i="5"/>
  <c r="K43" i="5"/>
  <c r="L32" i="5"/>
  <c r="M24" i="5"/>
  <c r="L17" i="5"/>
  <c r="N4" i="5"/>
  <c r="M22" i="5"/>
  <c r="M17" i="5" s="1"/>
  <c r="M13" i="5"/>
  <c r="M6" i="5" s="1"/>
  <c r="M15" i="5"/>
  <c r="J41" i="5"/>
  <c r="J110" i="5"/>
  <c r="J113" i="5" s="1"/>
  <c r="J116" i="5" s="1"/>
  <c r="J42" i="5"/>
  <c r="L89" i="5"/>
  <c r="M25" i="5"/>
  <c r="N28" i="5"/>
  <c r="M39" i="5"/>
  <c r="R94" i="5"/>
  <c r="R83" i="5"/>
  <c r="R3" i="5"/>
  <c r="J91" i="5"/>
  <c r="J92" i="5" s="1"/>
  <c r="J95" i="5" s="1"/>
  <c r="J101" i="5"/>
  <c r="J30" i="5"/>
  <c r="Q115" i="5"/>
  <c r="L59" i="5"/>
  <c r="L50" i="5"/>
  <c r="I116" i="5"/>
  <c r="Q121" i="5"/>
  <c r="Q111" i="5"/>
  <c r="R37" i="5"/>
  <c r="L11" i="5"/>
  <c r="N18" i="5"/>
  <c r="O9" i="5"/>
  <c r="L51" i="5"/>
  <c r="L54" i="5" s="1"/>
  <c r="L20" i="5"/>
  <c r="L68" i="5"/>
  <c r="L21" i="5"/>
  <c r="K50" i="5"/>
  <c r="K51" i="5" s="1"/>
  <c r="K59" i="5"/>
  <c r="K11" i="5"/>
  <c r="I95" i="4"/>
  <c r="I116" i="4"/>
  <c r="I74" i="4"/>
  <c r="Q53" i="4"/>
  <c r="L48" i="4"/>
  <c r="L32" i="4"/>
  <c r="M24" i="4"/>
  <c r="K89" i="4"/>
  <c r="K30" i="4"/>
  <c r="N4" i="4"/>
  <c r="M22" i="4"/>
  <c r="M13" i="4"/>
  <c r="M6" i="4" s="1"/>
  <c r="L21" i="4"/>
  <c r="L15" i="4"/>
  <c r="L17" i="4"/>
  <c r="Q125" i="4"/>
  <c r="K43" i="4"/>
  <c r="K27" i="4"/>
  <c r="Q62" i="4"/>
  <c r="M12" i="4"/>
  <c r="N9" i="4"/>
  <c r="M18" i="4"/>
  <c r="R111" i="4"/>
  <c r="R121" i="4"/>
  <c r="J110" i="4"/>
  <c r="J113" i="4" s="1"/>
  <c r="J116" i="4" s="1"/>
  <c r="J41" i="4"/>
  <c r="J42" i="4"/>
  <c r="R115" i="4"/>
  <c r="K51" i="4"/>
  <c r="L12" i="4"/>
  <c r="J101" i="4"/>
  <c r="J91" i="4"/>
  <c r="R94" i="4"/>
  <c r="J92" i="4"/>
  <c r="J95" i="4" s="1"/>
  <c r="L25" i="4"/>
  <c r="L31" i="4" s="1"/>
  <c r="L39" i="4"/>
  <c r="M28" i="4"/>
  <c r="K70" i="4"/>
  <c r="K71" i="4" s="1"/>
  <c r="K80" i="4"/>
  <c r="L8" i="4"/>
  <c r="L11" i="4" s="1"/>
  <c r="L71" i="9" l="1"/>
  <c r="K95" i="9"/>
  <c r="M27" i="9"/>
  <c r="M30" i="9" s="1"/>
  <c r="M43" i="9"/>
  <c r="M36" i="9" s="1"/>
  <c r="N11" i="9"/>
  <c r="N48" i="9"/>
  <c r="N51" i="9" s="1"/>
  <c r="N54" i="9" s="1"/>
  <c r="L36" i="9"/>
  <c r="N15" i="9"/>
  <c r="N21" i="9"/>
  <c r="N32" i="9"/>
  <c r="O24" i="9"/>
  <c r="M48" i="9"/>
  <c r="M51" i="9" s="1"/>
  <c r="M11" i="9"/>
  <c r="M12" i="9"/>
  <c r="M68" i="9"/>
  <c r="N39" i="9"/>
  <c r="N25" i="9"/>
  <c r="O28" i="9"/>
  <c r="N17" i="9"/>
  <c r="M89" i="9"/>
  <c r="L92" i="9"/>
  <c r="L95" i="9" s="1"/>
  <c r="P9" i="9"/>
  <c r="O18" i="9"/>
  <c r="M17" i="9"/>
  <c r="P4" i="9"/>
  <c r="O22" i="9"/>
  <c r="O13" i="9"/>
  <c r="O6" i="9" s="1"/>
  <c r="O12" i="9" s="1"/>
  <c r="L91" i="9"/>
  <c r="L101" i="9"/>
  <c r="N12" i="9"/>
  <c r="L74" i="9"/>
  <c r="K95" i="8"/>
  <c r="O18" i="8"/>
  <c r="O12" i="8"/>
  <c r="P9" i="8"/>
  <c r="M68" i="8"/>
  <c r="M89" i="8"/>
  <c r="M43" i="8"/>
  <c r="M36" i="8" s="1"/>
  <c r="M27" i="8"/>
  <c r="N6" i="8"/>
  <c r="L101" i="8"/>
  <c r="L91" i="8"/>
  <c r="L92" i="8" s="1"/>
  <c r="L36" i="8"/>
  <c r="L71" i="8"/>
  <c r="O22" i="8"/>
  <c r="P4" i="8"/>
  <c r="O13" i="8"/>
  <c r="O6" i="8" s="1"/>
  <c r="N17" i="8"/>
  <c r="L30" i="8"/>
  <c r="M17" i="8"/>
  <c r="O24" i="8"/>
  <c r="N32" i="8"/>
  <c r="L54" i="8"/>
  <c r="N25" i="8"/>
  <c r="O28" i="8"/>
  <c r="N39" i="8"/>
  <c r="N31" i="8"/>
  <c r="N21" i="8"/>
  <c r="N15" i="8"/>
  <c r="J91" i="7"/>
  <c r="J92" i="7" s="1"/>
  <c r="J95" i="7" s="1"/>
  <c r="J101" i="7"/>
  <c r="J30" i="7"/>
  <c r="J110" i="7"/>
  <c r="J113" i="7" s="1"/>
  <c r="J116" i="7" s="1"/>
  <c r="J41" i="7"/>
  <c r="J42" i="7"/>
  <c r="L89" i="7"/>
  <c r="L32" i="7"/>
  <c r="M24" i="7"/>
  <c r="I74" i="7"/>
  <c r="I116" i="7"/>
  <c r="K59" i="7"/>
  <c r="K50" i="7"/>
  <c r="K51" i="7" s="1"/>
  <c r="K11" i="7"/>
  <c r="M15" i="7"/>
  <c r="L68" i="7"/>
  <c r="L20" i="7"/>
  <c r="R79" i="7"/>
  <c r="R69" i="7"/>
  <c r="R58" i="7"/>
  <c r="R49" i="7"/>
  <c r="R100" i="7"/>
  <c r="R101" i="7"/>
  <c r="R50" i="7"/>
  <c r="R59" i="7"/>
  <c r="R90" i="7"/>
  <c r="R91" i="7"/>
  <c r="R122" i="7"/>
  <c r="R112" i="7"/>
  <c r="R94" i="7"/>
  <c r="N28" i="7"/>
  <c r="M25" i="7"/>
  <c r="M39" i="7"/>
  <c r="R111" i="7"/>
  <c r="R121" i="7"/>
  <c r="R104" i="7"/>
  <c r="L59" i="7"/>
  <c r="L50" i="7"/>
  <c r="L51" i="7" s="1"/>
  <c r="L54" i="7" s="1"/>
  <c r="N4" i="7"/>
  <c r="M22" i="7"/>
  <c r="M17" i="7" s="1"/>
  <c r="M13" i="7"/>
  <c r="L17" i="7"/>
  <c r="O9" i="7"/>
  <c r="N18" i="7"/>
  <c r="I95" i="7"/>
  <c r="L31" i="7"/>
  <c r="L21" i="7"/>
  <c r="K27" i="7"/>
  <c r="K43" i="7"/>
  <c r="K36" i="7" s="1"/>
  <c r="O9" i="6"/>
  <c r="N18" i="6"/>
  <c r="M15" i="6"/>
  <c r="M21" i="6"/>
  <c r="L89" i="6"/>
  <c r="R111" i="6"/>
  <c r="R121" i="6"/>
  <c r="R104" i="6"/>
  <c r="R115" i="6"/>
  <c r="L68" i="6"/>
  <c r="L21" i="6"/>
  <c r="I95" i="6"/>
  <c r="L8" i="6"/>
  <c r="R94" i="6"/>
  <c r="L17" i="6"/>
  <c r="K27" i="6"/>
  <c r="K43" i="6"/>
  <c r="N4" i="6"/>
  <c r="M22" i="6"/>
  <c r="M13" i="6"/>
  <c r="M6" i="6" s="1"/>
  <c r="L31" i="6"/>
  <c r="I74" i="6"/>
  <c r="J91" i="6"/>
  <c r="J92" i="6" s="1"/>
  <c r="J95" i="6" s="1"/>
  <c r="J101" i="6"/>
  <c r="J30" i="6"/>
  <c r="I116" i="6"/>
  <c r="M39" i="6"/>
  <c r="N28" i="6"/>
  <c r="M25" i="6"/>
  <c r="M31" i="6" s="1"/>
  <c r="L32" i="6"/>
  <c r="M24" i="6"/>
  <c r="J110" i="6"/>
  <c r="J113" i="6" s="1"/>
  <c r="J116" i="6" s="1"/>
  <c r="J42" i="6"/>
  <c r="J41" i="6"/>
  <c r="M48" i="5"/>
  <c r="M51" i="5" s="1"/>
  <c r="M54" i="5" s="1"/>
  <c r="M11" i="5"/>
  <c r="M12" i="5"/>
  <c r="R111" i="5"/>
  <c r="R121" i="5"/>
  <c r="O4" i="5"/>
  <c r="N22" i="5"/>
  <c r="N13" i="5"/>
  <c r="N6" i="5" s="1"/>
  <c r="K54" i="5"/>
  <c r="M20" i="5"/>
  <c r="M68" i="5"/>
  <c r="N15" i="5"/>
  <c r="N21" i="5" s="1"/>
  <c r="L71" i="5"/>
  <c r="M89" i="5"/>
  <c r="L70" i="5"/>
  <c r="L80" i="5"/>
  <c r="N24" i="5"/>
  <c r="M32" i="5"/>
  <c r="M70" i="5"/>
  <c r="M80" i="5"/>
  <c r="N31" i="5"/>
  <c r="O28" i="5"/>
  <c r="N25" i="5"/>
  <c r="N39" i="5"/>
  <c r="M31" i="5"/>
  <c r="K36" i="5"/>
  <c r="R104" i="5"/>
  <c r="R115" i="5"/>
  <c r="L43" i="5"/>
  <c r="L36" i="5" s="1"/>
  <c r="L27" i="5"/>
  <c r="P9" i="5"/>
  <c r="O18" i="5"/>
  <c r="M21" i="5"/>
  <c r="K91" i="5"/>
  <c r="K92" i="5" s="1"/>
  <c r="K95" i="5" s="1"/>
  <c r="K101" i="5"/>
  <c r="K30" i="5"/>
  <c r="K74" i="4"/>
  <c r="N22" i="4"/>
  <c r="O4" i="4"/>
  <c r="N13" i="4"/>
  <c r="L89" i="4"/>
  <c r="M48" i="4"/>
  <c r="M51" i="4" s="1"/>
  <c r="M54" i="4" s="1"/>
  <c r="M11" i="4"/>
  <c r="K54" i="4"/>
  <c r="L70" i="4"/>
  <c r="L80" i="4"/>
  <c r="R53" i="4"/>
  <c r="R125" i="4"/>
  <c r="K91" i="4"/>
  <c r="K92" i="4" s="1"/>
  <c r="K101" i="4"/>
  <c r="M39" i="4"/>
  <c r="N28" i="4"/>
  <c r="M25" i="4"/>
  <c r="M15" i="4"/>
  <c r="M17" i="4" s="1"/>
  <c r="M21" i="4"/>
  <c r="L68" i="4"/>
  <c r="L20" i="4"/>
  <c r="M32" i="4"/>
  <c r="N24" i="4"/>
  <c r="R62" i="4"/>
  <c r="L59" i="4"/>
  <c r="L50" i="4"/>
  <c r="L51" i="4" s="1"/>
  <c r="O9" i="4"/>
  <c r="N18" i="4"/>
  <c r="L43" i="4"/>
  <c r="L36" i="4" s="1"/>
  <c r="L27" i="4"/>
  <c r="N30" i="9" l="1"/>
  <c r="N89" i="9"/>
  <c r="N31" i="9"/>
  <c r="O39" i="9"/>
  <c r="P28" i="9"/>
  <c r="O25" i="9"/>
  <c r="O31" i="9" s="1"/>
  <c r="M110" i="9"/>
  <c r="M113" i="9" s="1"/>
  <c r="M116" i="9" s="1"/>
  <c r="M42" i="9"/>
  <c r="M41" i="9"/>
  <c r="L42" i="9"/>
  <c r="L110" i="9"/>
  <c r="L113" i="9" s="1"/>
  <c r="L41" i="9"/>
  <c r="M80" i="9"/>
  <c r="M70" i="9"/>
  <c r="M71" i="9"/>
  <c r="N43" i="9"/>
  <c r="N27" i="9"/>
  <c r="M54" i="9"/>
  <c r="N70" i="9"/>
  <c r="N80" i="9"/>
  <c r="M20" i="9"/>
  <c r="O48" i="9"/>
  <c r="O51" i="9" s="1"/>
  <c r="O54" i="9" s="1"/>
  <c r="O11" i="9"/>
  <c r="M101" i="9"/>
  <c r="M91" i="9"/>
  <c r="M92" i="9" s="1"/>
  <c r="P22" i="9"/>
  <c r="Q4" i="9"/>
  <c r="P13" i="9"/>
  <c r="P6" i="9" s="1"/>
  <c r="O32" i="9"/>
  <c r="P24" i="9"/>
  <c r="O15" i="9"/>
  <c r="Q9" i="9"/>
  <c r="P18" i="9"/>
  <c r="N68" i="9"/>
  <c r="N71" i="9" s="1"/>
  <c r="N74" i="9" s="1"/>
  <c r="N20" i="9"/>
  <c r="L95" i="8"/>
  <c r="N43" i="8"/>
  <c r="N27" i="8"/>
  <c r="L74" i="8"/>
  <c r="N48" i="8"/>
  <c r="N51" i="8" s="1"/>
  <c r="N11" i="8"/>
  <c r="N12" i="8"/>
  <c r="M101" i="8"/>
  <c r="M91" i="8"/>
  <c r="O11" i="8"/>
  <c r="O48" i="8"/>
  <c r="O51" i="8" s="1"/>
  <c r="O54" i="8" s="1"/>
  <c r="N80" i="8"/>
  <c r="N70" i="8"/>
  <c r="L110" i="8"/>
  <c r="L113" i="8" s="1"/>
  <c r="L41" i="8"/>
  <c r="L42" i="8"/>
  <c r="O32" i="8"/>
  <c r="P24" i="8"/>
  <c r="O15" i="8"/>
  <c r="O21" i="8" s="1"/>
  <c r="M92" i="8"/>
  <c r="M95" i="8" s="1"/>
  <c r="O39" i="8"/>
  <c r="P28" i="8"/>
  <c r="O31" i="8"/>
  <c r="O25" i="8"/>
  <c r="M70" i="8"/>
  <c r="M80" i="8"/>
  <c r="M20" i="8"/>
  <c r="P18" i="8"/>
  <c r="P12" i="8"/>
  <c r="Q9" i="8"/>
  <c r="M110" i="8"/>
  <c r="M113" i="8" s="1"/>
  <c r="M116" i="8" s="1"/>
  <c r="M42" i="8"/>
  <c r="M41" i="8"/>
  <c r="M30" i="8"/>
  <c r="P22" i="8"/>
  <c r="Q4" i="8"/>
  <c r="P13" i="8"/>
  <c r="P6" i="8" s="1"/>
  <c r="N68" i="8"/>
  <c r="N20" i="8"/>
  <c r="N30" i="8"/>
  <c r="N89" i="8"/>
  <c r="M71" i="8"/>
  <c r="M74" i="8" s="1"/>
  <c r="M80" i="7"/>
  <c r="M70" i="7"/>
  <c r="M6" i="7"/>
  <c r="M89" i="7"/>
  <c r="K54" i="7"/>
  <c r="L27" i="7"/>
  <c r="L43" i="7"/>
  <c r="L36" i="7" s="1"/>
  <c r="P9" i="7"/>
  <c r="O18" i="7"/>
  <c r="M68" i="7"/>
  <c r="M71" i="7" s="1"/>
  <c r="M74" i="7" s="1"/>
  <c r="M20" i="7"/>
  <c r="O4" i="7"/>
  <c r="N22" i="7"/>
  <c r="N13" i="7"/>
  <c r="N6" i="7" s="1"/>
  <c r="N31" i="7"/>
  <c r="N39" i="7"/>
  <c r="O28" i="7"/>
  <c r="N25" i="7"/>
  <c r="N24" i="7"/>
  <c r="M32" i="7"/>
  <c r="N15" i="7"/>
  <c r="N21" i="7"/>
  <c r="M21" i="7"/>
  <c r="K42" i="7"/>
  <c r="K110" i="7"/>
  <c r="K113" i="7" s="1"/>
  <c r="K116" i="7" s="1"/>
  <c r="K41" i="7"/>
  <c r="K101" i="7"/>
  <c r="K91" i="7"/>
  <c r="K92" i="7" s="1"/>
  <c r="K30" i="7"/>
  <c r="L70" i="7"/>
  <c r="L71" i="7" s="1"/>
  <c r="L80" i="7"/>
  <c r="M31" i="7"/>
  <c r="L70" i="6"/>
  <c r="L80" i="6"/>
  <c r="M17" i="6"/>
  <c r="N22" i="6"/>
  <c r="O4" i="6"/>
  <c r="N13" i="6"/>
  <c r="L43" i="6"/>
  <c r="L36" i="6" s="1"/>
  <c r="L27" i="6"/>
  <c r="K36" i="6"/>
  <c r="M48" i="6"/>
  <c r="M51" i="6" s="1"/>
  <c r="M54" i="6" s="1"/>
  <c r="M11" i="6"/>
  <c r="M12" i="6"/>
  <c r="N15" i="6"/>
  <c r="N21" i="6" s="1"/>
  <c r="M89" i="6"/>
  <c r="N31" i="6"/>
  <c r="N39" i="6"/>
  <c r="O28" i="6"/>
  <c r="N25" i="6"/>
  <c r="L20" i="6"/>
  <c r="P9" i="6"/>
  <c r="O18" i="6"/>
  <c r="K91" i="6"/>
  <c r="K92" i="6" s="1"/>
  <c r="K95" i="6" s="1"/>
  <c r="K101" i="6"/>
  <c r="K30" i="6"/>
  <c r="L59" i="6"/>
  <c r="L50" i="6"/>
  <c r="L51" i="6" s="1"/>
  <c r="L11" i="6"/>
  <c r="M68" i="6"/>
  <c r="M20" i="6"/>
  <c r="N24" i="6"/>
  <c r="M32" i="6"/>
  <c r="L71" i="6"/>
  <c r="N89" i="5"/>
  <c r="K42" i="5"/>
  <c r="K110" i="5"/>
  <c r="K113" i="5" s="1"/>
  <c r="K41" i="5"/>
  <c r="O15" i="5"/>
  <c r="O21" i="5"/>
  <c r="N68" i="5"/>
  <c r="N48" i="5"/>
  <c r="N51" i="5" s="1"/>
  <c r="N11" i="5"/>
  <c r="N12" i="5"/>
  <c r="O25" i="5"/>
  <c r="P28" i="5"/>
  <c r="O39" i="5"/>
  <c r="L101" i="5"/>
  <c r="L91" i="5"/>
  <c r="L92" i="5" s="1"/>
  <c r="L95" i="5" s="1"/>
  <c r="L30" i="5"/>
  <c r="Q9" i="5"/>
  <c r="P18" i="5"/>
  <c r="M27" i="5"/>
  <c r="M43" i="5"/>
  <c r="M71" i="5"/>
  <c r="M74" i="5" s="1"/>
  <c r="N17" i="5"/>
  <c r="L74" i="5"/>
  <c r="L110" i="5"/>
  <c r="L113" i="5" s="1"/>
  <c r="L116" i="5" s="1"/>
  <c r="L41" i="5"/>
  <c r="L42" i="5"/>
  <c r="N32" i="5"/>
  <c r="O24" i="5"/>
  <c r="P4" i="5"/>
  <c r="O22" i="5"/>
  <c r="O13" i="5"/>
  <c r="L54" i="4"/>
  <c r="M80" i="4"/>
  <c r="M70" i="4"/>
  <c r="K95" i="4"/>
  <c r="N6" i="4"/>
  <c r="M89" i="4"/>
  <c r="N15" i="4"/>
  <c r="K110" i="4"/>
  <c r="K113" i="4" s="1"/>
  <c r="K42" i="4"/>
  <c r="K41" i="4"/>
  <c r="O24" i="4"/>
  <c r="N32" i="4"/>
  <c r="L101" i="4"/>
  <c r="L91" i="4"/>
  <c r="L92" i="4" s="1"/>
  <c r="L95" i="4" s="1"/>
  <c r="O28" i="4"/>
  <c r="N39" i="4"/>
  <c r="N25" i="4"/>
  <c r="N31" i="4" s="1"/>
  <c r="L42" i="4"/>
  <c r="L110" i="4"/>
  <c r="L113" i="4" s="1"/>
  <c r="L116" i="4" s="1"/>
  <c r="L41" i="4"/>
  <c r="L71" i="4"/>
  <c r="M31" i="4"/>
  <c r="O18" i="4"/>
  <c r="P9" i="4"/>
  <c r="P4" i="4"/>
  <c r="O22" i="4"/>
  <c r="O13" i="4"/>
  <c r="O6" i="4" s="1"/>
  <c r="M68" i="4"/>
  <c r="M71" i="4" s="1"/>
  <c r="M74" i="4" s="1"/>
  <c r="M20" i="4"/>
  <c r="N17" i="4"/>
  <c r="M43" i="4"/>
  <c r="M36" i="4" s="1"/>
  <c r="M27" i="4"/>
  <c r="M30" i="4" s="1"/>
  <c r="L30" i="4"/>
  <c r="M95" i="9" l="1"/>
  <c r="P32" i="9"/>
  <c r="Q24" i="9"/>
  <c r="O68" i="9"/>
  <c r="O17" i="9"/>
  <c r="N36" i="9"/>
  <c r="M74" i="9"/>
  <c r="O27" i="9"/>
  <c r="O43" i="9"/>
  <c r="O36" i="9" s="1"/>
  <c r="Q18" i="9"/>
  <c r="R9" i="9"/>
  <c r="P48" i="9"/>
  <c r="P51" i="9" s="1"/>
  <c r="P11" i="9"/>
  <c r="O89" i="9"/>
  <c r="O30" i="9"/>
  <c r="P15" i="9"/>
  <c r="P12" i="9"/>
  <c r="R4" i="9"/>
  <c r="Q22" i="9"/>
  <c r="Q13" i="9"/>
  <c r="Q6" i="9" s="1"/>
  <c r="L116" i="9"/>
  <c r="P39" i="9"/>
  <c r="Q28" i="9"/>
  <c r="P25" i="9"/>
  <c r="P31" i="9"/>
  <c r="O21" i="9"/>
  <c r="P17" i="9"/>
  <c r="N101" i="9"/>
  <c r="N91" i="9"/>
  <c r="N92" i="9" s="1"/>
  <c r="N95" i="9" s="1"/>
  <c r="R4" i="8"/>
  <c r="Q22" i="8"/>
  <c r="Q13" i="8"/>
  <c r="Q6" i="8" s="1"/>
  <c r="P17" i="8"/>
  <c r="P11" i="8"/>
  <c r="P48" i="8"/>
  <c r="P51" i="8" s="1"/>
  <c r="P54" i="8" s="1"/>
  <c r="R9" i="8"/>
  <c r="Q18" i="8"/>
  <c r="O17" i="8"/>
  <c r="O20" i="8" s="1"/>
  <c r="N101" i="8"/>
  <c r="N91" i="8"/>
  <c r="N92" i="8" s="1"/>
  <c r="N95" i="8" s="1"/>
  <c r="L116" i="8"/>
  <c r="N54" i="8"/>
  <c r="P39" i="8"/>
  <c r="Q28" i="8"/>
  <c r="P25" i="8"/>
  <c r="P31" i="8"/>
  <c r="N36" i="8"/>
  <c r="P15" i="8"/>
  <c r="N71" i="8"/>
  <c r="N74" i="8" s="1"/>
  <c r="Q24" i="8"/>
  <c r="P32" i="8"/>
  <c r="O68" i="8"/>
  <c r="O89" i="8"/>
  <c r="O30" i="8"/>
  <c r="O27" i="8"/>
  <c r="O43" i="8"/>
  <c r="O36" i="8" s="1"/>
  <c r="L74" i="7"/>
  <c r="M48" i="7"/>
  <c r="M51" i="7" s="1"/>
  <c r="M11" i="7"/>
  <c r="M12" i="7"/>
  <c r="N68" i="7"/>
  <c r="N20" i="7"/>
  <c r="O25" i="7"/>
  <c r="O39" i="7"/>
  <c r="P28" i="7"/>
  <c r="L91" i="7"/>
  <c r="L92" i="7" s="1"/>
  <c r="L95" i="7" s="1"/>
  <c r="L101" i="7"/>
  <c r="L30" i="7"/>
  <c r="N11" i="7"/>
  <c r="N48" i="7"/>
  <c r="N51" i="7" s="1"/>
  <c r="N54" i="7" s="1"/>
  <c r="N12" i="7"/>
  <c r="N17" i="7"/>
  <c r="M27" i="7"/>
  <c r="M43" i="7"/>
  <c r="P4" i="7"/>
  <c r="O22" i="7"/>
  <c r="O17" i="7" s="1"/>
  <c r="O13" i="7"/>
  <c r="O15" i="7"/>
  <c r="O21" i="7" s="1"/>
  <c r="O24" i="7"/>
  <c r="N32" i="7"/>
  <c r="P18" i="7"/>
  <c r="Q9" i="7"/>
  <c r="K95" i="7"/>
  <c r="N89" i="7"/>
  <c r="L110" i="7"/>
  <c r="L113" i="7" s="1"/>
  <c r="L116" i="7" s="1"/>
  <c r="L41" i="7"/>
  <c r="L42" i="7"/>
  <c r="M27" i="6"/>
  <c r="M43" i="6"/>
  <c r="L54" i="6"/>
  <c r="O15" i="6"/>
  <c r="O25" i="6"/>
  <c r="O31" i="6"/>
  <c r="O39" i="6"/>
  <c r="P28" i="6"/>
  <c r="L110" i="6"/>
  <c r="L113" i="6" s="1"/>
  <c r="L116" i="6" s="1"/>
  <c r="L41" i="6"/>
  <c r="L42" i="6"/>
  <c r="N32" i="6"/>
  <c r="O24" i="6"/>
  <c r="M71" i="6"/>
  <c r="M74" i="6" s="1"/>
  <c r="K42" i="6"/>
  <c r="K110" i="6"/>
  <c r="K113" i="6" s="1"/>
  <c r="K41" i="6"/>
  <c r="M70" i="6"/>
  <c r="M80" i="6"/>
  <c r="N6" i="6"/>
  <c r="P18" i="6"/>
  <c r="Q9" i="6"/>
  <c r="O22" i="6"/>
  <c r="O17" i="6" s="1"/>
  <c r="P4" i="6"/>
  <c r="O13" i="6"/>
  <c r="O6" i="6" s="1"/>
  <c r="N68" i="6"/>
  <c r="N17" i="6"/>
  <c r="N20" i="6" s="1"/>
  <c r="L74" i="6"/>
  <c r="N89" i="6"/>
  <c r="L101" i="6"/>
  <c r="L91" i="6"/>
  <c r="L92" i="6" s="1"/>
  <c r="L95" i="6" s="1"/>
  <c r="L30" i="6"/>
  <c r="N80" i="5"/>
  <c r="N70" i="5"/>
  <c r="N71" i="5" s="1"/>
  <c r="O6" i="5"/>
  <c r="M36" i="5"/>
  <c r="O89" i="5"/>
  <c r="O20" i="5"/>
  <c r="O68" i="5"/>
  <c r="O17" i="5"/>
  <c r="Q4" i="5"/>
  <c r="P22" i="5"/>
  <c r="P17" i="5" s="1"/>
  <c r="P13" i="5"/>
  <c r="P6" i="5" s="1"/>
  <c r="M101" i="5"/>
  <c r="M91" i="5"/>
  <c r="M92" i="5" s="1"/>
  <c r="M95" i="5" s="1"/>
  <c r="M30" i="5"/>
  <c r="N54" i="5"/>
  <c r="K116" i="5"/>
  <c r="O32" i="5"/>
  <c r="P24" i="5"/>
  <c r="P15" i="5"/>
  <c r="P21" i="5"/>
  <c r="Q28" i="5"/>
  <c r="P39" i="5"/>
  <c r="P25" i="5"/>
  <c r="N43" i="5"/>
  <c r="N36" i="5" s="1"/>
  <c r="N27" i="5"/>
  <c r="R9" i="5"/>
  <c r="Q18" i="5"/>
  <c r="O31" i="5"/>
  <c r="N20" i="5"/>
  <c r="N80" i="4"/>
  <c r="N70" i="4"/>
  <c r="P18" i="4"/>
  <c r="Q9" i="4"/>
  <c r="O15" i="4"/>
  <c r="O21" i="4" s="1"/>
  <c r="N48" i="4"/>
  <c r="N51" i="4" s="1"/>
  <c r="N11" i="4"/>
  <c r="N12" i="4"/>
  <c r="O32" i="4"/>
  <c r="P24" i="4"/>
  <c r="L74" i="4"/>
  <c r="N89" i="4"/>
  <c r="N68" i="4"/>
  <c r="N20" i="4"/>
  <c r="O48" i="4"/>
  <c r="O51" i="4" s="1"/>
  <c r="O54" i="4" s="1"/>
  <c r="O11" i="4"/>
  <c r="N21" i="4"/>
  <c r="M91" i="4"/>
  <c r="M101" i="4"/>
  <c r="P22" i="4"/>
  <c r="Q4" i="4"/>
  <c r="P13" i="4"/>
  <c r="M92" i="4"/>
  <c r="M95" i="4" s="1"/>
  <c r="N27" i="4"/>
  <c r="N30" i="4" s="1"/>
  <c r="N43" i="4"/>
  <c r="O17" i="4"/>
  <c r="M110" i="4"/>
  <c r="M113" i="4" s="1"/>
  <c r="M116" i="4" s="1"/>
  <c r="M42" i="4"/>
  <c r="M41" i="4"/>
  <c r="O12" i="4"/>
  <c r="P28" i="4"/>
  <c r="O39" i="4"/>
  <c r="O25" i="4"/>
  <c r="O31" i="4"/>
  <c r="K116" i="4"/>
  <c r="Q48" i="9" l="1"/>
  <c r="Q51" i="9" s="1"/>
  <c r="Q54" i="9" s="1"/>
  <c r="Q11" i="9"/>
  <c r="R18" i="9"/>
  <c r="R24" i="9"/>
  <c r="R32" i="9" s="1"/>
  <c r="Q32" i="9"/>
  <c r="P70" i="9"/>
  <c r="P80" i="9"/>
  <c r="O41" i="9"/>
  <c r="O42" i="9"/>
  <c r="O110" i="9"/>
  <c r="O113" i="9" s="1"/>
  <c r="O116" i="9" s="1"/>
  <c r="O101" i="9"/>
  <c r="O91" i="9"/>
  <c r="O92" i="9" s="1"/>
  <c r="O95" i="9" s="1"/>
  <c r="O70" i="9"/>
  <c r="O71" i="9" s="1"/>
  <c r="O80" i="9"/>
  <c r="P89" i="9"/>
  <c r="Q15" i="9"/>
  <c r="P20" i="9"/>
  <c r="P68" i="9"/>
  <c r="P71" i="9" s="1"/>
  <c r="P74" i="9" s="1"/>
  <c r="O20" i="9"/>
  <c r="Q12" i="9"/>
  <c r="R22" i="9"/>
  <c r="R13" i="9"/>
  <c r="P27" i="9"/>
  <c r="P43" i="9"/>
  <c r="P36" i="9" s="1"/>
  <c r="Q39" i="9"/>
  <c r="R28" i="9"/>
  <c r="N110" i="9"/>
  <c r="N113" i="9" s="1"/>
  <c r="N41" i="9"/>
  <c r="N42" i="9"/>
  <c r="P21" i="9"/>
  <c r="P54" i="9"/>
  <c r="Q48" i="8"/>
  <c r="Q51" i="8" s="1"/>
  <c r="Q11" i="8"/>
  <c r="Q17" i="8"/>
  <c r="O101" i="8"/>
  <c r="O91" i="8"/>
  <c r="O92" i="8" s="1"/>
  <c r="O95" i="8" s="1"/>
  <c r="R28" i="8"/>
  <c r="Q39" i="8"/>
  <c r="P80" i="8"/>
  <c r="P70" i="8"/>
  <c r="P68" i="8"/>
  <c r="P71" i="8" s="1"/>
  <c r="P74" i="8" s="1"/>
  <c r="P20" i="8"/>
  <c r="Q15" i="8"/>
  <c r="Q21" i="8" s="1"/>
  <c r="P27" i="8"/>
  <c r="P43" i="8"/>
  <c r="P36" i="8" s="1"/>
  <c r="N110" i="8"/>
  <c r="N113" i="8" s="1"/>
  <c r="N42" i="8"/>
  <c r="N41" i="8"/>
  <c r="Q12" i="8"/>
  <c r="Q32" i="8"/>
  <c r="R24" i="8"/>
  <c r="R32" i="8" s="1"/>
  <c r="O70" i="8"/>
  <c r="O80" i="8"/>
  <c r="P21" i="8"/>
  <c r="R18" i="8"/>
  <c r="R22" i="8"/>
  <c r="R13" i="8"/>
  <c r="O42" i="8"/>
  <c r="O110" i="8"/>
  <c r="O113" i="8" s="1"/>
  <c r="O116" i="8" s="1"/>
  <c r="O41" i="8"/>
  <c r="O71" i="8"/>
  <c r="P89" i="8"/>
  <c r="P30" i="8"/>
  <c r="O70" i="7"/>
  <c r="O80" i="7"/>
  <c r="O6" i="7"/>
  <c r="M54" i="7"/>
  <c r="O32" i="7"/>
  <c r="P24" i="7"/>
  <c r="R9" i="7"/>
  <c r="Q18" i="7"/>
  <c r="O89" i="7"/>
  <c r="Q4" i="7"/>
  <c r="P22" i="7"/>
  <c r="P17" i="7" s="1"/>
  <c r="P13" i="7"/>
  <c r="P6" i="7" s="1"/>
  <c r="M36" i="7"/>
  <c r="N43" i="7"/>
  <c r="N36" i="7" s="1"/>
  <c r="N27" i="7"/>
  <c r="N70" i="7"/>
  <c r="N71" i="7" s="1"/>
  <c r="N80" i="7"/>
  <c r="O31" i="7"/>
  <c r="P15" i="7"/>
  <c r="P21" i="7"/>
  <c r="M101" i="7"/>
  <c r="M91" i="7"/>
  <c r="M92" i="7" s="1"/>
  <c r="M30" i="7"/>
  <c r="O68" i="7"/>
  <c r="O20" i="7"/>
  <c r="P39" i="7"/>
  <c r="P25" i="7"/>
  <c r="P31" i="7" s="1"/>
  <c r="Q28" i="7"/>
  <c r="Q4" i="6"/>
  <c r="P22" i="6"/>
  <c r="P13" i="6"/>
  <c r="P6" i="6" s="1"/>
  <c r="P39" i="6"/>
  <c r="P31" i="6"/>
  <c r="Q28" i="6"/>
  <c r="P25" i="6"/>
  <c r="O68" i="6"/>
  <c r="O71" i="6" s="1"/>
  <c r="O74" i="6" s="1"/>
  <c r="O20" i="6"/>
  <c r="R9" i="6"/>
  <c r="Q18" i="6"/>
  <c r="K116" i="6"/>
  <c r="N43" i="6"/>
  <c r="N36" i="6" s="1"/>
  <c r="N27" i="6"/>
  <c r="M36" i="6"/>
  <c r="N48" i="6"/>
  <c r="N51" i="6" s="1"/>
  <c r="N11" i="6"/>
  <c r="N12" i="6"/>
  <c r="N80" i="6"/>
  <c r="N70" i="6"/>
  <c r="N71" i="6" s="1"/>
  <c r="O89" i="6"/>
  <c r="M101" i="6"/>
  <c r="M91" i="6"/>
  <c r="M92" i="6" s="1"/>
  <c r="M95" i="6" s="1"/>
  <c r="M30" i="6"/>
  <c r="O48" i="6"/>
  <c r="O51" i="6" s="1"/>
  <c r="O54" i="6" s="1"/>
  <c r="O11" i="6"/>
  <c r="O12" i="6"/>
  <c r="O80" i="6"/>
  <c r="O70" i="6"/>
  <c r="O32" i="6"/>
  <c r="P24" i="6"/>
  <c r="P21" i="6"/>
  <c r="P15" i="6"/>
  <c r="O21" i="6"/>
  <c r="N74" i="5"/>
  <c r="P48" i="5"/>
  <c r="P51" i="5" s="1"/>
  <c r="P54" i="5" s="1"/>
  <c r="P11" i="5"/>
  <c r="P12" i="5"/>
  <c r="M110" i="5"/>
  <c r="M113" i="5" s="1"/>
  <c r="M41" i="5"/>
  <c r="M42" i="5"/>
  <c r="P80" i="5"/>
  <c r="P70" i="5"/>
  <c r="P89" i="5"/>
  <c r="O11" i="5"/>
  <c r="O48" i="5"/>
  <c r="O51" i="5" s="1"/>
  <c r="O12" i="5"/>
  <c r="R18" i="5"/>
  <c r="P31" i="5"/>
  <c r="N101" i="5"/>
  <c r="N91" i="5"/>
  <c r="N92" i="5" s="1"/>
  <c r="N30" i="5"/>
  <c r="P32" i="5"/>
  <c r="Q24" i="5"/>
  <c r="O43" i="5"/>
  <c r="O36" i="5" s="1"/>
  <c r="O27" i="5"/>
  <c r="R4" i="5"/>
  <c r="Q22" i="5"/>
  <c r="Q13" i="5"/>
  <c r="Q6" i="5" s="1"/>
  <c r="Q15" i="5"/>
  <c r="Q39" i="5"/>
  <c r="R28" i="5"/>
  <c r="O80" i="5"/>
  <c r="O70" i="5"/>
  <c r="O71" i="5" s="1"/>
  <c r="N110" i="5"/>
  <c r="N113" i="5" s="1"/>
  <c r="N116" i="5" s="1"/>
  <c r="N41" i="5"/>
  <c r="N42" i="5"/>
  <c r="P68" i="5"/>
  <c r="P71" i="5" s="1"/>
  <c r="P74" i="5" s="1"/>
  <c r="P20" i="5"/>
  <c r="Q22" i="4"/>
  <c r="R4" i="4"/>
  <c r="Q13" i="4"/>
  <c r="Q6" i="4" s="1"/>
  <c r="Q24" i="4"/>
  <c r="P32" i="4"/>
  <c r="R9" i="4"/>
  <c r="Q18" i="4"/>
  <c r="N54" i="4"/>
  <c r="O89" i="4"/>
  <c r="P6" i="4"/>
  <c r="N71" i="4"/>
  <c r="O27" i="4"/>
  <c r="O30" i="4" s="1"/>
  <c r="O43" i="4"/>
  <c r="O36" i="4" s="1"/>
  <c r="P15" i="4"/>
  <c r="P17" i="4" s="1"/>
  <c r="O70" i="4"/>
  <c r="O80" i="4"/>
  <c r="O68" i="4"/>
  <c r="O20" i="4"/>
  <c r="P39" i="4"/>
  <c r="Q28" i="4"/>
  <c r="P25" i="4"/>
  <c r="P31" i="4" s="1"/>
  <c r="N36" i="4"/>
  <c r="N101" i="4"/>
  <c r="N91" i="4"/>
  <c r="N92" i="4" s="1"/>
  <c r="O74" i="9" l="1"/>
  <c r="Q43" i="9"/>
  <c r="Q36" i="9" s="1"/>
  <c r="Q25" i="9"/>
  <c r="P101" i="9"/>
  <c r="P91" i="9"/>
  <c r="P92" i="9" s="1"/>
  <c r="P95" i="9" s="1"/>
  <c r="R25" i="9"/>
  <c r="R43" i="9"/>
  <c r="S32" i="9"/>
  <c r="S22" i="9"/>
  <c r="R15" i="9"/>
  <c r="R6" i="9"/>
  <c r="S13" i="9"/>
  <c r="J136" i="9" s="1"/>
  <c r="J141" i="9" s="1"/>
  <c r="Q68" i="9"/>
  <c r="N116" i="9"/>
  <c r="Q21" i="9"/>
  <c r="P41" i="9"/>
  <c r="P110" i="9"/>
  <c r="P113" i="9" s="1"/>
  <c r="P116" i="9" s="1"/>
  <c r="P42" i="9"/>
  <c r="Q17" i="9"/>
  <c r="R39" i="9"/>
  <c r="R31" i="9"/>
  <c r="P30" i="9"/>
  <c r="O71" i="7"/>
  <c r="O74" i="7" s="1"/>
  <c r="O74" i="8"/>
  <c r="Q80" i="8"/>
  <c r="Q70" i="8"/>
  <c r="S22" i="8"/>
  <c r="R25" i="8"/>
  <c r="R43" i="8"/>
  <c r="S32" i="8"/>
  <c r="P101" i="8"/>
  <c r="P91" i="8"/>
  <c r="P92" i="8" s="1"/>
  <c r="P95" i="8" s="1"/>
  <c r="R15" i="8"/>
  <c r="R21" i="8"/>
  <c r="P42" i="8"/>
  <c r="P110" i="8"/>
  <c r="P113" i="8" s="1"/>
  <c r="P116" i="8" s="1"/>
  <c r="P41" i="8"/>
  <c r="Q54" i="8"/>
  <c r="Q25" i="8"/>
  <c r="Q43" i="8"/>
  <c r="Q36" i="8" s="1"/>
  <c r="N116" i="8"/>
  <c r="R6" i="8"/>
  <c r="S13" i="8"/>
  <c r="Q68" i="8"/>
  <c r="Q71" i="8" s="1"/>
  <c r="Q74" i="8" s="1"/>
  <c r="Q20" i="8"/>
  <c r="R39" i="8"/>
  <c r="R31" i="8"/>
  <c r="N74" i="7"/>
  <c r="P48" i="7"/>
  <c r="P51" i="7" s="1"/>
  <c r="P54" i="7" s="1"/>
  <c r="P11" i="7"/>
  <c r="P12" i="7"/>
  <c r="Q39" i="7"/>
  <c r="R28" i="7"/>
  <c r="R18" i="7"/>
  <c r="P89" i="7"/>
  <c r="M95" i="7"/>
  <c r="R4" i="7"/>
  <c r="Q22" i="7"/>
  <c r="Q13" i="7"/>
  <c r="Q6" i="7" s="1"/>
  <c r="N101" i="7"/>
  <c r="N91" i="7"/>
  <c r="N92" i="7" s="1"/>
  <c r="N95" i="7" s="1"/>
  <c r="N30" i="7"/>
  <c r="P68" i="7"/>
  <c r="P20" i="7"/>
  <c r="N110" i="7"/>
  <c r="N113" i="7" s="1"/>
  <c r="N116" i="7" s="1"/>
  <c r="N41" i="7"/>
  <c r="N42" i="7"/>
  <c r="O48" i="7"/>
  <c r="O51" i="7" s="1"/>
  <c r="O11" i="7"/>
  <c r="O12" i="7"/>
  <c r="P70" i="7"/>
  <c r="P80" i="7"/>
  <c r="P32" i="7"/>
  <c r="Q24" i="7"/>
  <c r="O43" i="7"/>
  <c r="O36" i="7" s="1"/>
  <c r="O27" i="7"/>
  <c r="M110" i="7"/>
  <c r="M113" i="7" s="1"/>
  <c r="M42" i="7"/>
  <c r="M41" i="7"/>
  <c r="Q15" i="7"/>
  <c r="Q21" i="7"/>
  <c r="N74" i="6"/>
  <c r="N54" i="6"/>
  <c r="P89" i="6"/>
  <c r="Q39" i="6"/>
  <c r="R28" i="6"/>
  <c r="P32" i="6"/>
  <c r="Q24" i="6"/>
  <c r="R18" i="6"/>
  <c r="M110" i="6"/>
  <c r="M113" i="6" s="1"/>
  <c r="M42" i="6"/>
  <c r="M41" i="6"/>
  <c r="P17" i="6"/>
  <c r="Q15" i="6"/>
  <c r="O43" i="6"/>
  <c r="O27" i="6"/>
  <c r="P48" i="6"/>
  <c r="P51" i="6" s="1"/>
  <c r="P54" i="6" s="1"/>
  <c r="P11" i="6"/>
  <c r="P12" i="6"/>
  <c r="N101" i="6"/>
  <c r="N91" i="6"/>
  <c r="N92" i="6" s="1"/>
  <c r="N95" i="6" s="1"/>
  <c r="N30" i="6"/>
  <c r="R4" i="6"/>
  <c r="Q22" i="6"/>
  <c r="Q17" i="6" s="1"/>
  <c r="Q13" i="6"/>
  <c r="Q6" i="6" s="1"/>
  <c r="P68" i="6"/>
  <c r="P20" i="6"/>
  <c r="N110" i="6"/>
  <c r="N113" i="6" s="1"/>
  <c r="N116" i="6" s="1"/>
  <c r="N41" i="6"/>
  <c r="N42" i="6"/>
  <c r="O74" i="5"/>
  <c r="Q68" i="5"/>
  <c r="Q20" i="5"/>
  <c r="Q32" i="5"/>
  <c r="R24" i="5"/>
  <c r="R32" i="5" s="1"/>
  <c r="M116" i="5"/>
  <c r="O54" i="5"/>
  <c r="Q48" i="5"/>
  <c r="Q51" i="5" s="1"/>
  <c r="Q54" i="5" s="1"/>
  <c r="Q11" i="5"/>
  <c r="Q12" i="5"/>
  <c r="Q17" i="5"/>
  <c r="O101" i="5"/>
  <c r="O91" i="5"/>
  <c r="O92" i="5" s="1"/>
  <c r="O95" i="5" s="1"/>
  <c r="O30" i="5"/>
  <c r="P43" i="5"/>
  <c r="P36" i="5" s="1"/>
  <c r="P27" i="5"/>
  <c r="Q21" i="5"/>
  <c r="N95" i="5"/>
  <c r="R39" i="5"/>
  <c r="R22" i="5"/>
  <c r="R13" i="5"/>
  <c r="O110" i="5"/>
  <c r="O113" i="5" s="1"/>
  <c r="O116" i="5" s="1"/>
  <c r="O42" i="5"/>
  <c r="O41" i="5"/>
  <c r="R15" i="5"/>
  <c r="P80" i="4"/>
  <c r="P70" i="4"/>
  <c r="N95" i="4"/>
  <c r="Q11" i="4"/>
  <c r="Q48" i="4"/>
  <c r="Q51" i="4" s="1"/>
  <c r="Q54" i="4" s="1"/>
  <c r="O71" i="4"/>
  <c r="O74" i="4" s="1"/>
  <c r="Q17" i="4"/>
  <c r="R24" i="4"/>
  <c r="R32" i="4" s="1"/>
  <c r="Q32" i="4"/>
  <c r="N74" i="4"/>
  <c r="R22" i="4"/>
  <c r="R13" i="4"/>
  <c r="Q12" i="4"/>
  <c r="P89" i="4"/>
  <c r="P27" i="4"/>
  <c r="P30" i="4" s="1"/>
  <c r="P43" i="4"/>
  <c r="P36" i="4" s="1"/>
  <c r="Q39" i="4"/>
  <c r="R28" i="4"/>
  <c r="O41" i="4"/>
  <c r="O42" i="4"/>
  <c r="O110" i="4"/>
  <c r="O113" i="4" s="1"/>
  <c r="O116" i="4" s="1"/>
  <c r="O101" i="4"/>
  <c r="O91" i="4"/>
  <c r="O92" i="4" s="1"/>
  <c r="O95" i="4" s="1"/>
  <c r="P68" i="4"/>
  <c r="P71" i="4" s="1"/>
  <c r="P74" i="4" s="1"/>
  <c r="P20" i="4"/>
  <c r="P21" i="4"/>
  <c r="Q15" i="4"/>
  <c r="Q21" i="4"/>
  <c r="N42" i="4"/>
  <c r="N41" i="4"/>
  <c r="N110" i="4"/>
  <c r="N113" i="4" s="1"/>
  <c r="P48" i="4"/>
  <c r="P51" i="4" s="1"/>
  <c r="P11" i="4"/>
  <c r="P12" i="4"/>
  <c r="R18" i="4"/>
  <c r="R68" i="9" l="1"/>
  <c r="Q70" i="9"/>
  <c r="Q80" i="9"/>
  <c r="R89" i="9"/>
  <c r="R92" i="9" s="1"/>
  <c r="R30" i="9"/>
  <c r="Q20" i="9"/>
  <c r="R17" i="9"/>
  <c r="R20" i="9" s="1"/>
  <c r="R21" i="9"/>
  <c r="Q71" i="9"/>
  <c r="Q110" i="9"/>
  <c r="Q113" i="9" s="1"/>
  <c r="Q42" i="9"/>
  <c r="Q41" i="9"/>
  <c r="Q30" i="9"/>
  <c r="Q89" i="9"/>
  <c r="Q92" i="9" s="1"/>
  <c r="Q95" i="9" s="1"/>
  <c r="Q31" i="9"/>
  <c r="R48" i="9"/>
  <c r="R51" i="9" s="1"/>
  <c r="R11" i="9"/>
  <c r="R12" i="9"/>
  <c r="R36" i="9"/>
  <c r="S43" i="9"/>
  <c r="Q89" i="8"/>
  <c r="Q92" i="8" s="1"/>
  <c r="Q95" i="8" s="1"/>
  <c r="Q30" i="8"/>
  <c r="Q31" i="8"/>
  <c r="Q41" i="8"/>
  <c r="Q110" i="8"/>
  <c r="Q113" i="8" s="1"/>
  <c r="Q116" i="8" s="1"/>
  <c r="Q42" i="8"/>
  <c r="R36" i="8"/>
  <c r="S43" i="8"/>
  <c r="J136" i="8"/>
  <c r="J141" i="8" s="1"/>
  <c r="R68" i="8"/>
  <c r="R20" i="8"/>
  <c r="R17" i="8"/>
  <c r="R89" i="8"/>
  <c r="R92" i="8" s="1"/>
  <c r="R30" i="8"/>
  <c r="R48" i="8"/>
  <c r="R51" i="8" s="1"/>
  <c r="R11" i="8"/>
  <c r="R12" i="8"/>
  <c r="Q68" i="7"/>
  <c r="Q20" i="7"/>
  <c r="Q48" i="7"/>
  <c r="Q51" i="7" s="1"/>
  <c r="Q54" i="7" s="1"/>
  <c r="Q11" i="7"/>
  <c r="Q12" i="7"/>
  <c r="P71" i="7"/>
  <c r="R39" i="7"/>
  <c r="O101" i="7"/>
  <c r="O91" i="7"/>
  <c r="O92" i="7" s="1"/>
  <c r="O95" i="7" s="1"/>
  <c r="O30" i="7"/>
  <c r="O42" i="7"/>
  <c r="O41" i="7"/>
  <c r="O110" i="7"/>
  <c r="O113" i="7" s="1"/>
  <c r="O116" i="7" s="1"/>
  <c r="R22" i="7"/>
  <c r="R13" i="7"/>
  <c r="Q32" i="7"/>
  <c r="R24" i="7"/>
  <c r="R32" i="7" s="1"/>
  <c r="M116" i="7"/>
  <c r="P43" i="7"/>
  <c r="P36" i="7" s="1"/>
  <c r="P27" i="7"/>
  <c r="O54" i="7"/>
  <c r="R21" i="7"/>
  <c r="R15" i="7"/>
  <c r="Q17" i="7"/>
  <c r="Q80" i="6"/>
  <c r="Q70" i="6"/>
  <c r="P71" i="6"/>
  <c r="Q48" i="6"/>
  <c r="Q51" i="6" s="1"/>
  <c r="Q11" i="6"/>
  <c r="Q12" i="6"/>
  <c r="P80" i="6"/>
  <c r="P70" i="6"/>
  <c r="P43" i="6"/>
  <c r="P36" i="6" s="1"/>
  <c r="P27" i="6"/>
  <c r="R22" i="6"/>
  <c r="R13" i="6"/>
  <c r="R39" i="6"/>
  <c r="O101" i="6"/>
  <c r="O91" i="6"/>
  <c r="O92" i="6" s="1"/>
  <c r="O95" i="6" s="1"/>
  <c r="O30" i="6"/>
  <c r="O36" i="6"/>
  <c r="R21" i="6"/>
  <c r="R15" i="6"/>
  <c r="Q68" i="6"/>
  <c r="Q71" i="6" s="1"/>
  <c r="Q74" i="6" s="1"/>
  <c r="Q20" i="6"/>
  <c r="M116" i="6"/>
  <c r="Q21" i="6"/>
  <c r="Q32" i="6"/>
  <c r="R24" i="6"/>
  <c r="R32" i="6" s="1"/>
  <c r="R68" i="5"/>
  <c r="R43" i="5"/>
  <c r="S32" i="5"/>
  <c r="P101" i="5"/>
  <c r="P91" i="5"/>
  <c r="P92" i="5" s="1"/>
  <c r="P95" i="5" s="1"/>
  <c r="P30" i="5"/>
  <c r="Q80" i="5"/>
  <c r="Q70" i="5"/>
  <c r="Q71" i="5" s="1"/>
  <c r="Q74" i="5" s="1"/>
  <c r="P110" i="5"/>
  <c r="P113" i="5" s="1"/>
  <c r="P116" i="5" s="1"/>
  <c r="P42" i="5"/>
  <c r="P41" i="5"/>
  <c r="R21" i="5"/>
  <c r="Q43" i="5"/>
  <c r="Q36" i="5" s="1"/>
  <c r="R6" i="5"/>
  <c r="S13" i="5"/>
  <c r="R17" i="5"/>
  <c r="S22" i="5"/>
  <c r="R15" i="4"/>
  <c r="R21" i="4"/>
  <c r="Q43" i="4"/>
  <c r="Q36" i="4" s="1"/>
  <c r="R39" i="4"/>
  <c r="R31" i="4"/>
  <c r="R6" i="4"/>
  <c r="S13" i="4"/>
  <c r="Q80" i="4"/>
  <c r="Q70" i="4"/>
  <c r="Q68" i="4"/>
  <c r="Q71" i="4" s="1"/>
  <c r="Q74" i="4" s="1"/>
  <c r="Q20" i="4"/>
  <c r="P42" i="4"/>
  <c r="P41" i="4"/>
  <c r="P110" i="4"/>
  <c r="P113" i="4" s="1"/>
  <c r="P116" i="4" s="1"/>
  <c r="N116" i="4"/>
  <c r="R43" i="4"/>
  <c r="S32" i="4"/>
  <c r="R17" i="4"/>
  <c r="S22" i="4"/>
  <c r="P54" i="4"/>
  <c r="P101" i="4"/>
  <c r="P91" i="4"/>
  <c r="P92" i="4" s="1"/>
  <c r="P95" i="4" s="1"/>
  <c r="R54" i="9" l="1"/>
  <c r="S55" i="9" s="1"/>
  <c r="F136" i="9" s="1"/>
  <c r="S52" i="9"/>
  <c r="Q116" i="9"/>
  <c r="Q74" i="9"/>
  <c r="R95" i="9"/>
  <c r="S96" i="9" s="1"/>
  <c r="F138" i="9" s="1"/>
  <c r="G138" i="9" s="1"/>
  <c r="S93" i="9"/>
  <c r="R110" i="9"/>
  <c r="R113" i="9" s="1"/>
  <c r="R116" i="9" s="1"/>
  <c r="R41" i="9"/>
  <c r="R42" i="9"/>
  <c r="R80" i="9"/>
  <c r="R70" i="9"/>
  <c r="R71" i="9" s="1"/>
  <c r="R74" i="9" s="1"/>
  <c r="R95" i="8"/>
  <c r="S96" i="8" s="1"/>
  <c r="F138" i="8" s="1"/>
  <c r="S93" i="8"/>
  <c r="R41" i="8"/>
  <c r="R42" i="8"/>
  <c r="R110" i="8"/>
  <c r="R113" i="8" s="1"/>
  <c r="R54" i="8"/>
  <c r="S55" i="8" s="1"/>
  <c r="F136" i="8" s="1"/>
  <c r="S52" i="8"/>
  <c r="R71" i="8"/>
  <c r="R80" i="8"/>
  <c r="R70" i="8"/>
  <c r="R68" i="7"/>
  <c r="R20" i="7"/>
  <c r="Q43" i="7"/>
  <c r="Q36" i="7" s="1"/>
  <c r="Q25" i="7"/>
  <c r="R17" i="7"/>
  <c r="S22" i="7"/>
  <c r="P74" i="7"/>
  <c r="R43" i="7"/>
  <c r="R25" i="7"/>
  <c r="S32" i="7"/>
  <c r="R6" i="7"/>
  <c r="S13" i="7"/>
  <c r="J136" i="7" s="1"/>
  <c r="J141" i="7" s="1"/>
  <c r="P101" i="7"/>
  <c r="P91" i="7"/>
  <c r="P92" i="7" s="1"/>
  <c r="P95" i="7" s="1"/>
  <c r="P30" i="7"/>
  <c r="Q80" i="7"/>
  <c r="Q70" i="7"/>
  <c r="Q71" i="7" s="1"/>
  <c r="P110" i="7"/>
  <c r="P113" i="7" s="1"/>
  <c r="P42" i="7"/>
  <c r="P41" i="7"/>
  <c r="R68" i="6"/>
  <c r="Q54" i="6"/>
  <c r="P41" i="6"/>
  <c r="P42" i="6"/>
  <c r="P110" i="6"/>
  <c r="P113" i="6" s="1"/>
  <c r="P116" i="6" s="1"/>
  <c r="R17" i="6"/>
  <c r="R20" i="6" s="1"/>
  <c r="S22" i="6"/>
  <c r="P101" i="6"/>
  <c r="P91" i="6"/>
  <c r="P92" i="6" s="1"/>
  <c r="P95" i="6" s="1"/>
  <c r="P30" i="6"/>
  <c r="R25" i="6"/>
  <c r="R43" i="6"/>
  <c r="S32" i="6"/>
  <c r="R6" i="6"/>
  <c r="S13" i="6"/>
  <c r="J136" i="6" s="1"/>
  <c r="J141" i="6" s="1"/>
  <c r="Q43" i="6"/>
  <c r="Q36" i="6" s="1"/>
  <c r="Q25" i="6"/>
  <c r="O110" i="6"/>
  <c r="O113" i="6" s="1"/>
  <c r="O42" i="6"/>
  <c r="O41" i="6"/>
  <c r="P74" i="6"/>
  <c r="Q30" i="5"/>
  <c r="Q89" i="5"/>
  <c r="Q92" i="5" s="1"/>
  <c r="Q95" i="5" s="1"/>
  <c r="Q31" i="5"/>
  <c r="R80" i="5"/>
  <c r="R70" i="5"/>
  <c r="R71" i="5" s="1"/>
  <c r="R11" i="5"/>
  <c r="R48" i="5"/>
  <c r="R51" i="5" s="1"/>
  <c r="R12" i="5"/>
  <c r="R89" i="5"/>
  <c r="R92" i="5" s="1"/>
  <c r="R30" i="5"/>
  <c r="R31" i="5"/>
  <c r="R20" i="5"/>
  <c r="Q42" i="5"/>
  <c r="Q41" i="5"/>
  <c r="Q110" i="5"/>
  <c r="Q113" i="5" s="1"/>
  <c r="Q116" i="5" s="1"/>
  <c r="J136" i="5"/>
  <c r="J141" i="5" s="1"/>
  <c r="R36" i="5"/>
  <c r="S43" i="5"/>
  <c r="J136" i="4"/>
  <c r="J141" i="4" s="1"/>
  <c r="R48" i="4"/>
  <c r="R51" i="4" s="1"/>
  <c r="R11" i="4"/>
  <c r="R12" i="4"/>
  <c r="R80" i="4"/>
  <c r="R70" i="4"/>
  <c r="Q110" i="4"/>
  <c r="Q113" i="4" s="1"/>
  <c r="Q41" i="4"/>
  <c r="Q42" i="4"/>
  <c r="R36" i="4"/>
  <c r="S43" i="4"/>
  <c r="Q89" i="4"/>
  <c r="Q92" i="4" s="1"/>
  <c r="Q95" i="4" s="1"/>
  <c r="Q30" i="4"/>
  <c r="Q31" i="4"/>
  <c r="R30" i="4"/>
  <c r="R89" i="4"/>
  <c r="R92" i="4" s="1"/>
  <c r="R20" i="4"/>
  <c r="R68" i="4"/>
  <c r="R71" i="4" s="1"/>
  <c r="S75" i="9" l="1"/>
  <c r="F137" i="9" s="1"/>
  <c r="G137" i="9" s="1"/>
  <c r="S114" i="9"/>
  <c r="G136" i="9"/>
  <c r="I138" i="9"/>
  <c r="I139" i="9"/>
  <c r="I137" i="9"/>
  <c r="S72" i="9"/>
  <c r="S117" i="9"/>
  <c r="F139" i="9" s="1"/>
  <c r="G139" i="9" s="1"/>
  <c r="R74" i="8"/>
  <c r="S75" i="8" s="1"/>
  <c r="F137" i="8" s="1"/>
  <c r="I137" i="8" s="1"/>
  <c r="S72" i="8"/>
  <c r="I139" i="8"/>
  <c r="I138" i="8"/>
  <c r="R116" i="8"/>
  <c r="S117" i="8" s="1"/>
  <c r="F139" i="8" s="1"/>
  <c r="S114" i="8"/>
  <c r="Q74" i="7"/>
  <c r="R89" i="7"/>
  <c r="R92" i="7" s="1"/>
  <c r="R30" i="7"/>
  <c r="R31" i="7"/>
  <c r="R48" i="7"/>
  <c r="R51" i="7" s="1"/>
  <c r="R11" i="7"/>
  <c r="R12" i="7"/>
  <c r="R80" i="7"/>
  <c r="R70" i="7"/>
  <c r="R71" i="7" s="1"/>
  <c r="R36" i="7"/>
  <c r="S43" i="7"/>
  <c r="Q30" i="7"/>
  <c r="Q89" i="7"/>
  <c r="Q92" i="7" s="1"/>
  <c r="Q95" i="7" s="1"/>
  <c r="Q31" i="7"/>
  <c r="P116" i="7"/>
  <c r="Q42" i="7"/>
  <c r="Q41" i="7"/>
  <c r="Q110" i="7"/>
  <c r="Q113" i="7" s="1"/>
  <c r="Q116" i="7" s="1"/>
  <c r="O116" i="6"/>
  <c r="R36" i="6"/>
  <c r="S43" i="6"/>
  <c r="Q30" i="6"/>
  <c r="Q89" i="6"/>
  <c r="Q92" i="6" s="1"/>
  <c r="Q95" i="6" s="1"/>
  <c r="Q31" i="6"/>
  <c r="Q42" i="6"/>
  <c r="Q41" i="6"/>
  <c r="Q110" i="6"/>
  <c r="Q113" i="6" s="1"/>
  <c r="Q116" i="6" s="1"/>
  <c r="R48" i="6"/>
  <c r="R51" i="6" s="1"/>
  <c r="R11" i="6"/>
  <c r="R12" i="6"/>
  <c r="R80" i="6"/>
  <c r="R70" i="6"/>
  <c r="R30" i="6"/>
  <c r="R89" i="6"/>
  <c r="R92" i="6" s="1"/>
  <c r="R31" i="6"/>
  <c r="R71" i="6"/>
  <c r="R74" i="5"/>
  <c r="S75" i="5" s="1"/>
  <c r="F137" i="5" s="1"/>
  <c r="S72" i="5"/>
  <c r="R41" i="5"/>
  <c r="R110" i="5"/>
  <c r="R113" i="5" s="1"/>
  <c r="R42" i="5"/>
  <c r="R95" i="5"/>
  <c r="S96" i="5" s="1"/>
  <c r="F138" i="5" s="1"/>
  <c r="S93" i="5"/>
  <c r="R54" i="5"/>
  <c r="S55" i="5" s="1"/>
  <c r="F136" i="5" s="1"/>
  <c r="S52" i="5"/>
  <c r="R95" i="4"/>
  <c r="S96" i="4" s="1"/>
  <c r="F138" i="4" s="1"/>
  <c r="S93" i="4"/>
  <c r="R74" i="4"/>
  <c r="S75" i="4" s="1"/>
  <c r="F137" i="4" s="1"/>
  <c r="S72" i="4"/>
  <c r="R54" i="4"/>
  <c r="S55" i="4" s="1"/>
  <c r="F136" i="4" s="1"/>
  <c r="S52" i="4"/>
  <c r="R110" i="4"/>
  <c r="R113" i="4" s="1"/>
  <c r="R116" i="4" s="1"/>
  <c r="R41" i="4"/>
  <c r="R42" i="4"/>
  <c r="Q116" i="4"/>
  <c r="R74" i="7" l="1"/>
  <c r="S75" i="7" s="1"/>
  <c r="F137" i="7" s="1"/>
  <c r="S72" i="7"/>
  <c r="R54" i="7"/>
  <c r="S55" i="7" s="1"/>
  <c r="F136" i="7" s="1"/>
  <c r="S52" i="7"/>
  <c r="R95" i="7"/>
  <c r="S96" i="7" s="1"/>
  <c r="F138" i="7" s="1"/>
  <c r="S93" i="7"/>
  <c r="R110" i="7"/>
  <c r="R113" i="7" s="1"/>
  <c r="R42" i="7"/>
  <c r="R41" i="7"/>
  <c r="R95" i="6"/>
  <c r="S96" i="6" s="1"/>
  <c r="F138" i="6" s="1"/>
  <c r="S93" i="6"/>
  <c r="R74" i="6"/>
  <c r="S75" i="6" s="1"/>
  <c r="F137" i="6" s="1"/>
  <c r="S72" i="6"/>
  <c r="R54" i="6"/>
  <c r="S55" i="6" s="1"/>
  <c r="F136" i="6" s="1"/>
  <c r="S52" i="6"/>
  <c r="R42" i="6"/>
  <c r="R41" i="6"/>
  <c r="R110" i="6"/>
  <c r="R113" i="6" s="1"/>
  <c r="I137" i="5"/>
  <c r="I138" i="5"/>
  <c r="R116" i="5"/>
  <c r="S117" i="5" s="1"/>
  <c r="F139" i="5" s="1"/>
  <c r="I139" i="5" s="1"/>
  <c r="S114" i="5"/>
  <c r="S117" i="4"/>
  <c r="F139" i="4" s="1"/>
  <c r="I139" i="4" s="1"/>
  <c r="I138" i="4"/>
  <c r="I137" i="4"/>
  <c r="S114" i="4"/>
  <c r="R116" i="7" l="1"/>
  <c r="S117" i="7" s="1"/>
  <c r="F139" i="7" s="1"/>
  <c r="S114" i="7"/>
  <c r="I139" i="7"/>
  <c r="I138" i="7"/>
  <c r="I137" i="7"/>
  <c r="R116" i="6"/>
  <c r="S117" i="6" s="1"/>
  <c r="F139" i="6" s="1"/>
  <c r="S114" i="6"/>
  <c r="I139" i="6"/>
  <c r="I137" i="6"/>
  <c r="I138" i="6"/>
  <c r="E9" i="1" l="1"/>
  <c r="E12" i="1" s="1"/>
  <c r="E10" i="1"/>
  <c r="E13" i="1" s="1"/>
  <c r="G6" i="1" l="1"/>
  <c r="G9" i="1"/>
  <c r="E4" i="1"/>
  <c r="H49" i="1" l="1"/>
  <c r="H50" i="1"/>
  <c r="H48" i="1"/>
  <c r="X4" i="2"/>
  <c r="X3" i="2"/>
  <c r="X2" i="2"/>
  <c r="H59" i="1" l="1"/>
  <c r="H80" i="1" s="1"/>
  <c r="H58" i="1"/>
  <c r="H79" i="1" s="1"/>
  <c r="H91" i="1"/>
  <c r="H70" i="1"/>
  <c r="H89" i="1"/>
  <c r="F3" i="2"/>
  <c r="H145" i="1"/>
  <c r="H144" i="1"/>
  <c r="H139" i="1"/>
  <c r="F62" i="1"/>
  <c r="I125" i="1"/>
  <c r="J125" i="1" s="1"/>
  <c r="I53" i="1"/>
  <c r="J53" i="1" s="1"/>
  <c r="J37" i="1"/>
  <c r="K37" i="1" s="1"/>
  <c r="L37" i="1" s="1"/>
  <c r="M37" i="1" s="1"/>
  <c r="N37" i="1" s="1"/>
  <c r="O37" i="1" s="1"/>
  <c r="P37" i="1" s="1"/>
  <c r="Q37" i="1" s="1"/>
  <c r="R37" i="1" s="1"/>
  <c r="H90" i="1" l="1"/>
  <c r="H68" i="1"/>
  <c r="H69" i="1"/>
  <c r="K53" i="1"/>
  <c r="K125" i="1"/>
  <c r="L53" i="1" l="1"/>
  <c r="L125" i="1"/>
  <c r="M53" i="1" l="1"/>
  <c r="M125" i="1"/>
  <c r="N53" i="1" l="1"/>
  <c r="N125" i="1"/>
  <c r="O53" i="1" l="1"/>
  <c r="O125" i="1"/>
  <c r="P53" i="1" l="1"/>
  <c r="P125" i="1"/>
  <c r="Q53" i="1" l="1"/>
  <c r="Q125" i="1"/>
  <c r="R53" i="1" l="1"/>
  <c r="R125" i="1"/>
  <c r="H3" i="2" l="1"/>
  <c r="J3" i="2" l="1"/>
  <c r="L3" i="2" s="1"/>
  <c r="L14" i="2"/>
  <c r="F14" i="2" s="1"/>
  <c r="J13" i="2"/>
  <c r="L13" i="2" s="1"/>
  <c r="F13" i="2" s="1"/>
  <c r="G13" i="2"/>
  <c r="G12" i="2"/>
  <c r="L12" i="2"/>
  <c r="F12" i="2" s="1"/>
  <c r="H57" i="1" l="1"/>
  <c r="H78" i="1" s="1"/>
  <c r="H57" i="8"/>
  <c r="H57" i="9"/>
  <c r="H57" i="6"/>
  <c r="H57" i="4"/>
  <c r="H57" i="5"/>
  <c r="H57" i="7"/>
  <c r="H24" i="1"/>
  <c r="H35" i="1" s="1"/>
  <c r="R7" i="1"/>
  <c r="Q7" i="1"/>
  <c r="P7" i="1"/>
  <c r="O7" i="1"/>
  <c r="N7" i="1"/>
  <c r="M7" i="1"/>
  <c r="L7" i="1"/>
  <c r="K7" i="1"/>
  <c r="J7" i="1"/>
  <c r="I104" i="1"/>
  <c r="J104" i="1" s="1"/>
  <c r="I94" i="1"/>
  <c r="J94" i="1" s="1"/>
  <c r="H101" i="1"/>
  <c r="H122" i="1" s="1"/>
  <c r="H100" i="1"/>
  <c r="H121" i="1" s="1"/>
  <c r="H99" i="1"/>
  <c r="H120" i="1" s="1"/>
  <c r="I73" i="1"/>
  <c r="J73" i="1" s="1"/>
  <c r="I83" i="1"/>
  <c r="J83" i="1" s="1"/>
  <c r="F10" i="1"/>
  <c r="H10" i="1" s="1"/>
  <c r="D8" i="1"/>
  <c r="D13" i="1" s="1"/>
  <c r="D4" i="1" s="1"/>
  <c r="C8" i="1"/>
  <c r="B8" i="1"/>
  <c r="B13" i="1" s="1"/>
  <c r="H7" i="1"/>
  <c r="F6" i="1"/>
  <c r="C6" i="1"/>
  <c r="I3" i="1"/>
  <c r="J2" i="1"/>
  <c r="H78" i="7" l="1"/>
  <c r="H99" i="7" s="1"/>
  <c r="H120" i="7" s="1"/>
  <c r="I57" i="7"/>
  <c r="I60" i="7" s="1"/>
  <c r="J57" i="7"/>
  <c r="J60" i="7" s="1"/>
  <c r="J63" i="7" s="1"/>
  <c r="I78" i="7"/>
  <c r="I81" i="7" s="1"/>
  <c r="I99" i="7"/>
  <c r="I102" i="7" s="1"/>
  <c r="J78" i="7"/>
  <c r="J81" i="7" s="1"/>
  <c r="J84" i="7" s="1"/>
  <c r="K57" i="7"/>
  <c r="K60" i="7" s="1"/>
  <c r="K63" i="7" s="1"/>
  <c r="K78" i="7"/>
  <c r="K81" i="7" s="1"/>
  <c r="K84" i="7" s="1"/>
  <c r="J99" i="7"/>
  <c r="J102" i="7" s="1"/>
  <c r="J105" i="7" s="1"/>
  <c r="L57" i="7"/>
  <c r="L60" i="7" s="1"/>
  <c r="L63" i="7" s="1"/>
  <c r="K99" i="7"/>
  <c r="K102" i="7" s="1"/>
  <c r="K105" i="7" s="1"/>
  <c r="L78" i="7"/>
  <c r="L81" i="7" s="1"/>
  <c r="L84" i="7" s="1"/>
  <c r="L99" i="7"/>
  <c r="L102" i="7" s="1"/>
  <c r="L105" i="7" s="1"/>
  <c r="M99" i="7"/>
  <c r="M102" i="7" s="1"/>
  <c r="M105" i="7" s="1"/>
  <c r="M78" i="7"/>
  <c r="M81" i="7" s="1"/>
  <c r="M84" i="7" s="1"/>
  <c r="N57" i="7"/>
  <c r="N60" i="7" s="1"/>
  <c r="N63" i="7" s="1"/>
  <c r="M57" i="7"/>
  <c r="M60" i="7" s="1"/>
  <c r="M63" i="7" s="1"/>
  <c r="N78" i="7"/>
  <c r="N81" i="7" s="1"/>
  <c r="N84" i="7" s="1"/>
  <c r="N99" i="7"/>
  <c r="N102" i="7" s="1"/>
  <c r="N105" i="7" s="1"/>
  <c r="O99" i="7"/>
  <c r="O102" i="7" s="1"/>
  <c r="O105" i="7" s="1"/>
  <c r="O78" i="7"/>
  <c r="O81" i="7" s="1"/>
  <c r="O84" i="7" s="1"/>
  <c r="P99" i="7"/>
  <c r="P102" i="7" s="1"/>
  <c r="P105" i="7" s="1"/>
  <c r="P78" i="7"/>
  <c r="P81" i="7" s="1"/>
  <c r="P84" i="7" s="1"/>
  <c r="O57" i="7"/>
  <c r="O60" i="7" s="1"/>
  <c r="O63" i="7" s="1"/>
  <c r="P57" i="7"/>
  <c r="P60" i="7" s="1"/>
  <c r="P63" i="7" s="1"/>
  <c r="Q57" i="7"/>
  <c r="Q60" i="7" s="1"/>
  <c r="Q63" i="7" s="1"/>
  <c r="Q78" i="7"/>
  <c r="Q81" i="7" s="1"/>
  <c r="Q84" i="7" s="1"/>
  <c r="R78" i="7"/>
  <c r="R81" i="7" s="1"/>
  <c r="R84" i="7" s="1"/>
  <c r="Q99" i="7"/>
  <c r="Q102" i="7" s="1"/>
  <c r="Q105" i="7" s="1"/>
  <c r="R57" i="7"/>
  <c r="R60" i="7" s="1"/>
  <c r="R63" i="7" s="1"/>
  <c r="R99" i="7"/>
  <c r="R102" i="7" s="1"/>
  <c r="R105" i="7" s="1"/>
  <c r="H78" i="4"/>
  <c r="H99" i="4" s="1"/>
  <c r="H120" i="4" s="1"/>
  <c r="I57" i="4"/>
  <c r="I60" i="4" s="1"/>
  <c r="J78" i="4"/>
  <c r="J81" i="4" s="1"/>
  <c r="J84" i="4" s="1"/>
  <c r="I78" i="4"/>
  <c r="I81" i="4" s="1"/>
  <c r="J57" i="4"/>
  <c r="J60" i="4" s="1"/>
  <c r="J63" i="4" s="1"/>
  <c r="I99" i="4"/>
  <c r="I102" i="4" s="1"/>
  <c r="K57" i="4"/>
  <c r="K60" i="4" s="1"/>
  <c r="K63" i="4" s="1"/>
  <c r="K78" i="4"/>
  <c r="K81" i="4" s="1"/>
  <c r="K84" i="4" s="1"/>
  <c r="J99" i="4"/>
  <c r="J102" i="4" s="1"/>
  <c r="J105" i="4" s="1"/>
  <c r="L57" i="4"/>
  <c r="L60" i="4" s="1"/>
  <c r="L63" i="4" s="1"/>
  <c r="K99" i="4"/>
  <c r="K102" i="4" s="1"/>
  <c r="K105" i="4" s="1"/>
  <c r="L99" i="4"/>
  <c r="L102" i="4" s="1"/>
  <c r="L105" i="4" s="1"/>
  <c r="M57" i="4"/>
  <c r="M60" i="4" s="1"/>
  <c r="M63" i="4" s="1"/>
  <c r="L78" i="4"/>
  <c r="L81" i="4" s="1"/>
  <c r="L84" i="4" s="1"/>
  <c r="M99" i="4"/>
  <c r="M102" i="4" s="1"/>
  <c r="M105" i="4" s="1"/>
  <c r="M78" i="4"/>
  <c r="M81" i="4" s="1"/>
  <c r="M84" i="4" s="1"/>
  <c r="O57" i="4"/>
  <c r="O60" i="4" s="1"/>
  <c r="O63" i="4" s="1"/>
  <c r="N99" i="4"/>
  <c r="N102" i="4" s="1"/>
  <c r="N105" i="4" s="1"/>
  <c r="N57" i="4"/>
  <c r="N60" i="4" s="1"/>
  <c r="N63" i="4" s="1"/>
  <c r="N78" i="4"/>
  <c r="N81" i="4" s="1"/>
  <c r="N84" i="4" s="1"/>
  <c r="O99" i="4"/>
  <c r="O102" i="4" s="1"/>
  <c r="O105" i="4" s="1"/>
  <c r="O78" i="4"/>
  <c r="O81" i="4" s="1"/>
  <c r="O84" i="4" s="1"/>
  <c r="P99" i="4"/>
  <c r="P102" i="4" s="1"/>
  <c r="P105" i="4" s="1"/>
  <c r="Q57" i="4"/>
  <c r="Q60" i="4" s="1"/>
  <c r="Q63" i="4" s="1"/>
  <c r="P78" i="4"/>
  <c r="P81" i="4" s="1"/>
  <c r="P84" i="4" s="1"/>
  <c r="P57" i="4"/>
  <c r="P60" i="4" s="1"/>
  <c r="P63" i="4" s="1"/>
  <c r="Q78" i="4"/>
  <c r="Q81" i="4" s="1"/>
  <c r="Q84" i="4" s="1"/>
  <c r="R57" i="4"/>
  <c r="R60" i="4" s="1"/>
  <c r="R63" i="4" s="1"/>
  <c r="R99" i="4"/>
  <c r="R102" i="4" s="1"/>
  <c r="R105" i="4" s="1"/>
  <c r="R78" i="4"/>
  <c r="R81" i="4" s="1"/>
  <c r="R84" i="4" s="1"/>
  <c r="Q99" i="4"/>
  <c r="Q102" i="4" s="1"/>
  <c r="Q105" i="4" s="1"/>
  <c r="H78" i="6"/>
  <c r="H99" i="6" s="1"/>
  <c r="H120" i="6" s="1"/>
  <c r="I57" i="6"/>
  <c r="I60" i="6" s="1"/>
  <c r="J78" i="6"/>
  <c r="J81" i="6" s="1"/>
  <c r="J84" i="6" s="1"/>
  <c r="I99" i="6"/>
  <c r="I102" i="6" s="1"/>
  <c r="J57" i="6"/>
  <c r="J60" i="6" s="1"/>
  <c r="J63" i="6" s="1"/>
  <c r="I78" i="6"/>
  <c r="I81" i="6" s="1"/>
  <c r="K78" i="6"/>
  <c r="K81" i="6" s="1"/>
  <c r="K84" i="6" s="1"/>
  <c r="J99" i="6"/>
  <c r="J102" i="6" s="1"/>
  <c r="J105" i="6" s="1"/>
  <c r="K57" i="6"/>
  <c r="K60" i="6" s="1"/>
  <c r="K63" i="6" s="1"/>
  <c r="L57" i="6"/>
  <c r="L60" i="6" s="1"/>
  <c r="L63" i="6" s="1"/>
  <c r="K99" i="6"/>
  <c r="K102" i="6" s="1"/>
  <c r="K105" i="6" s="1"/>
  <c r="L99" i="6"/>
  <c r="L102" i="6" s="1"/>
  <c r="L105" i="6" s="1"/>
  <c r="L78" i="6"/>
  <c r="L81" i="6" s="1"/>
  <c r="L84" i="6" s="1"/>
  <c r="M99" i="6"/>
  <c r="M102" i="6" s="1"/>
  <c r="M105" i="6" s="1"/>
  <c r="M57" i="6"/>
  <c r="M60" i="6" s="1"/>
  <c r="M63" i="6" s="1"/>
  <c r="M78" i="6"/>
  <c r="M81" i="6" s="1"/>
  <c r="M84" i="6" s="1"/>
  <c r="N78" i="6"/>
  <c r="N81" i="6" s="1"/>
  <c r="N84" i="6" s="1"/>
  <c r="N99" i="6"/>
  <c r="N102" i="6" s="1"/>
  <c r="N105" i="6" s="1"/>
  <c r="N57" i="6"/>
  <c r="N60" i="6" s="1"/>
  <c r="N63" i="6" s="1"/>
  <c r="O99" i="6"/>
  <c r="O102" i="6" s="1"/>
  <c r="O105" i="6" s="1"/>
  <c r="O78" i="6"/>
  <c r="O81" i="6" s="1"/>
  <c r="O84" i="6" s="1"/>
  <c r="O57" i="6"/>
  <c r="O60" i="6" s="1"/>
  <c r="O63" i="6" s="1"/>
  <c r="P57" i="6"/>
  <c r="P60" i="6" s="1"/>
  <c r="P63" i="6" s="1"/>
  <c r="P99" i="6"/>
  <c r="P102" i="6" s="1"/>
  <c r="P105" i="6" s="1"/>
  <c r="P78" i="6"/>
  <c r="P81" i="6" s="1"/>
  <c r="P84" i="6" s="1"/>
  <c r="Q78" i="6"/>
  <c r="Q81" i="6" s="1"/>
  <c r="Q84" i="6" s="1"/>
  <c r="Q57" i="6"/>
  <c r="Q60" i="6" s="1"/>
  <c r="Q63" i="6" s="1"/>
  <c r="R78" i="6"/>
  <c r="R81" i="6" s="1"/>
  <c r="R84" i="6" s="1"/>
  <c r="R57" i="6"/>
  <c r="R60" i="6" s="1"/>
  <c r="R63" i="6" s="1"/>
  <c r="R99" i="6"/>
  <c r="R102" i="6" s="1"/>
  <c r="R105" i="6" s="1"/>
  <c r="Q99" i="6"/>
  <c r="Q102" i="6" s="1"/>
  <c r="Q105" i="6" s="1"/>
  <c r="H78" i="8"/>
  <c r="H99" i="8" s="1"/>
  <c r="H120" i="8" s="1"/>
  <c r="I57" i="8"/>
  <c r="I60" i="8" s="1"/>
  <c r="I99" i="8"/>
  <c r="I102" i="8" s="1"/>
  <c r="J57" i="8"/>
  <c r="J60" i="8" s="1"/>
  <c r="J63" i="8" s="1"/>
  <c r="J78" i="8"/>
  <c r="J81" i="8" s="1"/>
  <c r="J84" i="8" s="1"/>
  <c r="I78" i="8"/>
  <c r="I81" i="8" s="1"/>
  <c r="J99" i="8"/>
  <c r="J102" i="8" s="1"/>
  <c r="J105" i="8" s="1"/>
  <c r="K57" i="8"/>
  <c r="K60" i="8" s="1"/>
  <c r="K63" i="8" s="1"/>
  <c r="K78" i="8"/>
  <c r="K81" i="8" s="1"/>
  <c r="K84" i="8" s="1"/>
  <c r="K99" i="8"/>
  <c r="K102" i="8" s="1"/>
  <c r="K105" i="8" s="1"/>
  <c r="L57" i="8"/>
  <c r="L60" i="8" s="1"/>
  <c r="L63" i="8" s="1"/>
  <c r="L78" i="8"/>
  <c r="L81" i="8" s="1"/>
  <c r="L84" i="8" s="1"/>
  <c r="M57" i="8"/>
  <c r="M60" i="8" s="1"/>
  <c r="M63" i="8" s="1"/>
  <c r="L99" i="8"/>
  <c r="L102" i="8" s="1"/>
  <c r="L105" i="8" s="1"/>
  <c r="M78" i="8"/>
  <c r="M81" i="8" s="1"/>
  <c r="M84" i="8" s="1"/>
  <c r="M99" i="8"/>
  <c r="M102" i="8" s="1"/>
  <c r="M105" i="8" s="1"/>
  <c r="N57" i="8"/>
  <c r="N60" i="8" s="1"/>
  <c r="N63" i="8" s="1"/>
  <c r="N99" i="8"/>
  <c r="N102" i="8" s="1"/>
  <c r="N105" i="8" s="1"/>
  <c r="O57" i="8"/>
  <c r="O60" i="8" s="1"/>
  <c r="O63" i="8" s="1"/>
  <c r="N78" i="8"/>
  <c r="N81" i="8" s="1"/>
  <c r="N84" i="8" s="1"/>
  <c r="P57" i="8"/>
  <c r="P60" i="8" s="1"/>
  <c r="P63" i="8" s="1"/>
  <c r="O99" i="8"/>
  <c r="O102" i="8" s="1"/>
  <c r="O105" i="8" s="1"/>
  <c r="O78" i="8"/>
  <c r="O81" i="8" s="1"/>
  <c r="O84" i="8" s="1"/>
  <c r="Q57" i="8"/>
  <c r="Q60" i="8" s="1"/>
  <c r="Q63" i="8" s="1"/>
  <c r="P78" i="8"/>
  <c r="P81" i="8" s="1"/>
  <c r="P84" i="8" s="1"/>
  <c r="P99" i="8"/>
  <c r="P102" i="8" s="1"/>
  <c r="P105" i="8" s="1"/>
  <c r="Q78" i="8"/>
  <c r="Q81" i="8" s="1"/>
  <c r="Q84" i="8" s="1"/>
  <c r="Q99" i="8"/>
  <c r="Q102" i="8" s="1"/>
  <c r="Q105" i="8" s="1"/>
  <c r="R99" i="8"/>
  <c r="R102" i="8" s="1"/>
  <c r="R105" i="8" s="1"/>
  <c r="R78" i="8"/>
  <c r="R81" i="8" s="1"/>
  <c r="R84" i="8" s="1"/>
  <c r="R57" i="8"/>
  <c r="R60" i="8" s="1"/>
  <c r="R63" i="8" s="1"/>
  <c r="H78" i="5"/>
  <c r="H99" i="5" s="1"/>
  <c r="H120" i="5" s="1"/>
  <c r="I57" i="5"/>
  <c r="I60" i="5" s="1"/>
  <c r="J57" i="5"/>
  <c r="J60" i="5" s="1"/>
  <c r="J63" i="5" s="1"/>
  <c r="I99" i="5"/>
  <c r="I102" i="5" s="1"/>
  <c r="J78" i="5"/>
  <c r="J81" i="5" s="1"/>
  <c r="J84" i="5" s="1"/>
  <c r="I78" i="5"/>
  <c r="I81" i="5" s="1"/>
  <c r="J99" i="5"/>
  <c r="J102" i="5" s="1"/>
  <c r="J105" i="5" s="1"/>
  <c r="K57" i="5"/>
  <c r="K60" i="5" s="1"/>
  <c r="K63" i="5" s="1"/>
  <c r="K78" i="5"/>
  <c r="K81" i="5" s="1"/>
  <c r="K84" i="5" s="1"/>
  <c r="K99" i="5"/>
  <c r="K102" i="5" s="1"/>
  <c r="K105" i="5" s="1"/>
  <c r="L57" i="5"/>
  <c r="L60" i="5" s="1"/>
  <c r="L63" i="5" s="1"/>
  <c r="L99" i="5"/>
  <c r="L102" i="5" s="1"/>
  <c r="L105" i="5" s="1"/>
  <c r="L78" i="5"/>
  <c r="L81" i="5" s="1"/>
  <c r="L84" i="5" s="1"/>
  <c r="M57" i="5"/>
  <c r="M60" i="5" s="1"/>
  <c r="M63" i="5" s="1"/>
  <c r="M78" i="5"/>
  <c r="M81" i="5" s="1"/>
  <c r="M84" i="5" s="1"/>
  <c r="M99" i="5"/>
  <c r="M102" i="5" s="1"/>
  <c r="M105" i="5" s="1"/>
  <c r="N57" i="5"/>
  <c r="N60" i="5" s="1"/>
  <c r="N63" i="5" s="1"/>
  <c r="N99" i="5"/>
  <c r="N102" i="5" s="1"/>
  <c r="N105" i="5" s="1"/>
  <c r="N78" i="5"/>
  <c r="N81" i="5" s="1"/>
  <c r="N84" i="5" s="1"/>
  <c r="O99" i="5"/>
  <c r="O102" i="5" s="1"/>
  <c r="O105" i="5" s="1"/>
  <c r="O78" i="5"/>
  <c r="O81" i="5" s="1"/>
  <c r="O84" i="5" s="1"/>
  <c r="P57" i="5"/>
  <c r="P60" i="5" s="1"/>
  <c r="P63" i="5" s="1"/>
  <c r="P99" i="5"/>
  <c r="P102" i="5" s="1"/>
  <c r="P105" i="5" s="1"/>
  <c r="O57" i="5"/>
  <c r="O60" i="5" s="1"/>
  <c r="O63" i="5" s="1"/>
  <c r="P78" i="5"/>
  <c r="P81" i="5" s="1"/>
  <c r="P84" i="5" s="1"/>
  <c r="Q78" i="5"/>
  <c r="Q81" i="5" s="1"/>
  <c r="Q84" i="5" s="1"/>
  <c r="Q57" i="5"/>
  <c r="Q60" i="5" s="1"/>
  <c r="Q63" i="5" s="1"/>
  <c r="R78" i="5"/>
  <c r="R81" i="5" s="1"/>
  <c r="R84" i="5" s="1"/>
  <c r="Q99" i="5"/>
  <c r="Q102" i="5" s="1"/>
  <c r="Q105" i="5" s="1"/>
  <c r="R99" i="5"/>
  <c r="R102" i="5" s="1"/>
  <c r="R105" i="5" s="1"/>
  <c r="R57" i="5"/>
  <c r="R60" i="5" s="1"/>
  <c r="R63" i="5" s="1"/>
  <c r="H78" i="9"/>
  <c r="H99" i="9" s="1"/>
  <c r="H120" i="9" s="1"/>
  <c r="I57" i="9"/>
  <c r="I60" i="9" s="1"/>
  <c r="J78" i="9"/>
  <c r="J81" i="9" s="1"/>
  <c r="J84" i="9" s="1"/>
  <c r="I99" i="9"/>
  <c r="I102" i="9" s="1"/>
  <c r="J57" i="9"/>
  <c r="J60" i="9" s="1"/>
  <c r="J63" i="9" s="1"/>
  <c r="I78" i="9"/>
  <c r="I81" i="9" s="1"/>
  <c r="J99" i="9"/>
  <c r="J102" i="9" s="1"/>
  <c r="J105" i="9" s="1"/>
  <c r="K57" i="9"/>
  <c r="K60" i="9" s="1"/>
  <c r="K63" i="9" s="1"/>
  <c r="K78" i="9"/>
  <c r="K81" i="9" s="1"/>
  <c r="K84" i="9" s="1"/>
  <c r="L57" i="9"/>
  <c r="L60" i="9" s="1"/>
  <c r="L63" i="9" s="1"/>
  <c r="K99" i="9"/>
  <c r="K102" i="9" s="1"/>
  <c r="K105" i="9" s="1"/>
  <c r="L78" i="9"/>
  <c r="L81" i="9" s="1"/>
  <c r="L84" i="9" s="1"/>
  <c r="L99" i="9"/>
  <c r="L102" i="9" s="1"/>
  <c r="L105" i="9" s="1"/>
  <c r="M78" i="9"/>
  <c r="M81" i="9" s="1"/>
  <c r="M84" i="9" s="1"/>
  <c r="M57" i="9"/>
  <c r="M60" i="9" s="1"/>
  <c r="M63" i="9" s="1"/>
  <c r="N57" i="9"/>
  <c r="N60" i="9" s="1"/>
  <c r="N63" i="9" s="1"/>
  <c r="M99" i="9"/>
  <c r="M102" i="9" s="1"/>
  <c r="M105" i="9" s="1"/>
  <c r="N99" i="9"/>
  <c r="N102" i="9" s="1"/>
  <c r="N105" i="9" s="1"/>
  <c r="O57" i="9"/>
  <c r="O60" i="9" s="1"/>
  <c r="O63" i="9" s="1"/>
  <c r="N78" i="9"/>
  <c r="N81" i="9" s="1"/>
  <c r="N84" i="9" s="1"/>
  <c r="O99" i="9"/>
  <c r="O102" i="9" s="1"/>
  <c r="O105" i="9" s="1"/>
  <c r="O78" i="9"/>
  <c r="O81" i="9" s="1"/>
  <c r="O84" i="9" s="1"/>
  <c r="P57" i="9"/>
  <c r="P60" i="9" s="1"/>
  <c r="P63" i="9" s="1"/>
  <c r="P78" i="9"/>
  <c r="P81" i="9" s="1"/>
  <c r="P84" i="9" s="1"/>
  <c r="Q57" i="9"/>
  <c r="Q60" i="9" s="1"/>
  <c r="Q63" i="9" s="1"/>
  <c r="P99" i="9"/>
  <c r="P102" i="9" s="1"/>
  <c r="P105" i="9" s="1"/>
  <c r="Q78" i="9"/>
  <c r="Q81" i="9" s="1"/>
  <c r="Q84" i="9" s="1"/>
  <c r="R57" i="9"/>
  <c r="R60" i="9" s="1"/>
  <c r="R63" i="9" s="1"/>
  <c r="R99" i="9"/>
  <c r="R102" i="9" s="1"/>
  <c r="R105" i="9" s="1"/>
  <c r="R78" i="9"/>
  <c r="R81" i="9" s="1"/>
  <c r="R84" i="9" s="1"/>
  <c r="Q99" i="9"/>
  <c r="Q102" i="9" s="1"/>
  <c r="Q105" i="9" s="1"/>
  <c r="H6" i="1"/>
  <c r="F9" i="1"/>
  <c r="B4" i="1"/>
  <c r="F4" i="1" s="1"/>
  <c r="H4" i="1" s="1"/>
  <c r="I4" i="1" s="1"/>
  <c r="F13" i="1"/>
  <c r="H13" i="1" s="1"/>
  <c r="K2" i="1"/>
  <c r="J68" i="1"/>
  <c r="J69" i="1"/>
  <c r="J3" i="1"/>
  <c r="K3" i="1" s="1"/>
  <c r="L3" i="1" s="1"/>
  <c r="M3" i="1" s="1"/>
  <c r="N3" i="1" s="1"/>
  <c r="O3" i="1" s="1"/>
  <c r="P3" i="1" s="1"/>
  <c r="Q3" i="1" s="1"/>
  <c r="R3" i="1" s="1"/>
  <c r="I122" i="1"/>
  <c r="H112" i="1"/>
  <c r="I91" i="1"/>
  <c r="H110" i="1"/>
  <c r="J89" i="1"/>
  <c r="I62" i="1"/>
  <c r="J62" i="1" s="1"/>
  <c r="K62" i="1" s="1"/>
  <c r="I115" i="1"/>
  <c r="J115" i="1" s="1"/>
  <c r="K115" i="1" s="1"/>
  <c r="L115" i="1" s="1"/>
  <c r="M115" i="1" s="1"/>
  <c r="N115" i="1" s="1"/>
  <c r="O115" i="1" s="1"/>
  <c r="P115" i="1" s="1"/>
  <c r="Q115" i="1" s="1"/>
  <c r="R115" i="1" s="1"/>
  <c r="J78" i="1"/>
  <c r="I101" i="1"/>
  <c r="J99" i="1"/>
  <c r="K94" i="1"/>
  <c r="K104" i="1"/>
  <c r="K73" i="1"/>
  <c r="C13" i="1"/>
  <c r="C4" i="1" s="1"/>
  <c r="K83" i="1"/>
  <c r="F8" i="1"/>
  <c r="H8" i="1" s="1"/>
  <c r="I105" i="5" l="1"/>
  <c r="S103" i="5"/>
  <c r="I105" i="8"/>
  <c r="S103" i="8"/>
  <c r="I63" i="6"/>
  <c r="S61" i="6"/>
  <c r="I120" i="4"/>
  <c r="I123" i="4" s="1"/>
  <c r="J120" i="4"/>
  <c r="J123" i="4" s="1"/>
  <c r="J126" i="4" s="1"/>
  <c r="L120" i="4"/>
  <c r="L123" i="4" s="1"/>
  <c r="L126" i="4" s="1"/>
  <c r="K120" i="4"/>
  <c r="K123" i="4" s="1"/>
  <c r="K126" i="4" s="1"/>
  <c r="M120" i="4"/>
  <c r="M123" i="4" s="1"/>
  <c r="M126" i="4" s="1"/>
  <c r="N120" i="4"/>
  <c r="N123" i="4" s="1"/>
  <c r="N126" i="4" s="1"/>
  <c r="O120" i="4"/>
  <c r="O123" i="4" s="1"/>
  <c r="O126" i="4" s="1"/>
  <c r="P120" i="4"/>
  <c r="P123" i="4" s="1"/>
  <c r="P126" i="4" s="1"/>
  <c r="Q120" i="4"/>
  <c r="Q123" i="4" s="1"/>
  <c r="Q126" i="4" s="1"/>
  <c r="R120" i="4"/>
  <c r="R123" i="4" s="1"/>
  <c r="R126" i="4" s="1"/>
  <c r="I105" i="9"/>
  <c r="S103" i="9"/>
  <c r="I63" i="8"/>
  <c r="S61" i="8"/>
  <c r="I120" i="6"/>
  <c r="I123" i="6" s="1"/>
  <c r="J120" i="6"/>
  <c r="J123" i="6" s="1"/>
  <c r="J126" i="6" s="1"/>
  <c r="L120" i="6"/>
  <c r="L123" i="6" s="1"/>
  <c r="L126" i="6" s="1"/>
  <c r="K120" i="6"/>
  <c r="K123" i="6" s="1"/>
  <c r="K126" i="6" s="1"/>
  <c r="M120" i="6"/>
  <c r="M123" i="6" s="1"/>
  <c r="M126" i="6" s="1"/>
  <c r="N120" i="6"/>
  <c r="N123" i="6" s="1"/>
  <c r="N126" i="6" s="1"/>
  <c r="O120" i="6"/>
  <c r="O123" i="6" s="1"/>
  <c r="O126" i="6" s="1"/>
  <c r="P120" i="6"/>
  <c r="P123" i="6" s="1"/>
  <c r="P126" i="6" s="1"/>
  <c r="Q120" i="6"/>
  <c r="Q123" i="6" s="1"/>
  <c r="Q126" i="6" s="1"/>
  <c r="R120" i="6"/>
  <c r="R123" i="6" s="1"/>
  <c r="R126" i="6" s="1"/>
  <c r="S106" i="9"/>
  <c r="F144" i="9" s="1"/>
  <c r="G144" i="9" s="1"/>
  <c r="S85" i="4"/>
  <c r="F143" i="4" s="1"/>
  <c r="G143" i="4" s="1"/>
  <c r="I105" i="4"/>
  <c r="S103" i="4"/>
  <c r="I105" i="7"/>
  <c r="S106" i="7" s="1"/>
  <c r="F144" i="7" s="1"/>
  <c r="G144" i="7" s="1"/>
  <c r="S103" i="7"/>
  <c r="I120" i="9"/>
  <c r="I123" i="9" s="1"/>
  <c r="J120" i="9"/>
  <c r="J123" i="9" s="1"/>
  <c r="J126" i="9" s="1"/>
  <c r="K120" i="9"/>
  <c r="K123" i="9" s="1"/>
  <c r="K126" i="9" s="1"/>
  <c r="M120" i="9"/>
  <c r="M123" i="9" s="1"/>
  <c r="M126" i="9" s="1"/>
  <c r="L120" i="9"/>
  <c r="L123" i="9" s="1"/>
  <c r="L126" i="9" s="1"/>
  <c r="O120" i="9"/>
  <c r="O123" i="9" s="1"/>
  <c r="O126" i="9" s="1"/>
  <c r="N120" i="9"/>
  <c r="N123" i="9" s="1"/>
  <c r="N126" i="9" s="1"/>
  <c r="P120" i="9"/>
  <c r="P123" i="9" s="1"/>
  <c r="P126" i="9" s="1"/>
  <c r="Q120" i="9"/>
  <c r="Q123" i="9" s="1"/>
  <c r="Q126" i="9" s="1"/>
  <c r="R120" i="9"/>
  <c r="R123" i="9" s="1"/>
  <c r="R126" i="9" s="1"/>
  <c r="S64" i="8"/>
  <c r="F142" i="8" s="1"/>
  <c r="S106" i="6"/>
  <c r="F144" i="6" s="1"/>
  <c r="G144" i="6" s="1"/>
  <c r="I84" i="6"/>
  <c r="S82" i="6"/>
  <c r="S106" i="4"/>
  <c r="F144" i="4" s="1"/>
  <c r="G144" i="4" s="1"/>
  <c r="I84" i="7"/>
  <c r="S85" i="7" s="1"/>
  <c r="F143" i="7" s="1"/>
  <c r="G143" i="7" s="1"/>
  <c r="S82" i="7"/>
  <c r="I84" i="4"/>
  <c r="S82" i="4"/>
  <c r="I63" i="9"/>
  <c r="S64" i="9" s="1"/>
  <c r="F142" i="9" s="1"/>
  <c r="S61" i="9"/>
  <c r="I120" i="5"/>
  <c r="I123" i="5" s="1"/>
  <c r="J120" i="5"/>
  <c r="J123" i="5" s="1"/>
  <c r="J126" i="5" s="1"/>
  <c r="L120" i="5"/>
  <c r="L123" i="5" s="1"/>
  <c r="L126" i="5" s="1"/>
  <c r="K120" i="5"/>
  <c r="K123" i="5" s="1"/>
  <c r="K126" i="5" s="1"/>
  <c r="N120" i="5"/>
  <c r="N123" i="5" s="1"/>
  <c r="N126" i="5" s="1"/>
  <c r="M120" i="5"/>
  <c r="M123" i="5" s="1"/>
  <c r="M126" i="5" s="1"/>
  <c r="O120" i="5"/>
  <c r="O123" i="5" s="1"/>
  <c r="O126" i="5" s="1"/>
  <c r="P120" i="5"/>
  <c r="P123" i="5" s="1"/>
  <c r="P126" i="5" s="1"/>
  <c r="Q120" i="5"/>
  <c r="Q123" i="5" s="1"/>
  <c r="Q126" i="5" s="1"/>
  <c r="R120" i="5"/>
  <c r="R123" i="5" s="1"/>
  <c r="R126" i="5" s="1"/>
  <c r="S106" i="8"/>
  <c r="F144" i="8" s="1"/>
  <c r="G144" i="8" s="1"/>
  <c r="S85" i="6"/>
  <c r="F143" i="6" s="1"/>
  <c r="G143" i="6" s="1"/>
  <c r="I105" i="6"/>
  <c r="S103" i="6"/>
  <c r="I63" i="7"/>
  <c r="S64" i="7" s="1"/>
  <c r="F142" i="7" s="1"/>
  <c r="S61" i="7"/>
  <c r="I63" i="5"/>
  <c r="S61" i="5"/>
  <c r="I120" i="8"/>
  <c r="I123" i="8" s="1"/>
  <c r="J120" i="8"/>
  <c r="J123" i="8" s="1"/>
  <c r="J126" i="8" s="1"/>
  <c r="K120" i="8"/>
  <c r="K123" i="8" s="1"/>
  <c r="K126" i="8" s="1"/>
  <c r="L120" i="8"/>
  <c r="L123" i="8" s="1"/>
  <c r="L126" i="8" s="1"/>
  <c r="M120" i="8"/>
  <c r="M123" i="8" s="1"/>
  <c r="M126" i="8" s="1"/>
  <c r="O120" i="8"/>
  <c r="O123" i="8" s="1"/>
  <c r="O126" i="8" s="1"/>
  <c r="N120" i="8"/>
  <c r="N123" i="8" s="1"/>
  <c r="N126" i="8" s="1"/>
  <c r="P120" i="8"/>
  <c r="P123" i="8" s="1"/>
  <c r="P126" i="8" s="1"/>
  <c r="Q120" i="8"/>
  <c r="Q123" i="8" s="1"/>
  <c r="Q126" i="8" s="1"/>
  <c r="R120" i="8"/>
  <c r="R123" i="8" s="1"/>
  <c r="R126" i="8" s="1"/>
  <c r="S64" i="5"/>
  <c r="F142" i="5" s="1"/>
  <c r="I84" i="8"/>
  <c r="S85" i="8" s="1"/>
  <c r="F143" i="8" s="1"/>
  <c r="G143" i="8" s="1"/>
  <c r="S82" i="8"/>
  <c r="S64" i="6"/>
  <c r="F142" i="6" s="1"/>
  <c r="S106" i="5"/>
  <c r="F144" i="5" s="1"/>
  <c r="G144" i="5" s="1"/>
  <c r="I84" i="5"/>
  <c r="S85" i="5" s="1"/>
  <c r="F143" i="5" s="1"/>
  <c r="G143" i="5" s="1"/>
  <c r="S82" i="5"/>
  <c r="S85" i="9"/>
  <c r="F143" i="9" s="1"/>
  <c r="G143" i="9" s="1"/>
  <c r="I84" i="9"/>
  <c r="S82" i="9"/>
  <c r="I63" i="4"/>
  <c r="S64" i="4" s="1"/>
  <c r="F142" i="4" s="1"/>
  <c r="S61" i="4"/>
  <c r="I120" i="7"/>
  <c r="I123" i="7" s="1"/>
  <c r="J120" i="7"/>
  <c r="J123" i="7" s="1"/>
  <c r="J126" i="7" s="1"/>
  <c r="K120" i="7"/>
  <c r="K123" i="7" s="1"/>
  <c r="K126" i="7" s="1"/>
  <c r="L120" i="7"/>
  <c r="L123" i="7" s="1"/>
  <c r="L126" i="7" s="1"/>
  <c r="N120" i="7"/>
  <c r="N123" i="7" s="1"/>
  <c r="N126" i="7" s="1"/>
  <c r="M120" i="7"/>
  <c r="M123" i="7" s="1"/>
  <c r="M126" i="7" s="1"/>
  <c r="O120" i="7"/>
  <c r="O123" i="7" s="1"/>
  <c r="O126" i="7" s="1"/>
  <c r="P120" i="7"/>
  <c r="P123" i="7" s="1"/>
  <c r="P126" i="7" s="1"/>
  <c r="Q120" i="7"/>
  <c r="Q123" i="7" s="1"/>
  <c r="Q126" i="7" s="1"/>
  <c r="R120" i="7"/>
  <c r="R123" i="7" s="1"/>
  <c r="R126" i="7" s="1"/>
  <c r="K89" i="1"/>
  <c r="L21" i="1"/>
  <c r="K78" i="1"/>
  <c r="L2" i="1"/>
  <c r="L68" i="1" s="1"/>
  <c r="K69" i="1"/>
  <c r="K68" i="1"/>
  <c r="I112" i="1"/>
  <c r="H111" i="1"/>
  <c r="K99" i="1"/>
  <c r="I13" i="1"/>
  <c r="I8" i="1" s="1"/>
  <c r="I17" i="1" s="1"/>
  <c r="L94" i="1"/>
  <c r="L104" i="1"/>
  <c r="L73" i="1"/>
  <c r="L83" i="1"/>
  <c r="L62" i="1"/>
  <c r="G142" i="4" l="1"/>
  <c r="I144" i="4"/>
  <c r="I143" i="4"/>
  <c r="G142" i="7"/>
  <c r="I143" i="7"/>
  <c r="I144" i="7"/>
  <c r="I144" i="9"/>
  <c r="G142" i="9"/>
  <c r="I143" i="9"/>
  <c r="G142" i="6"/>
  <c r="I144" i="6"/>
  <c r="I143" i="6"/>
  <c r="S127" i="5"/>
  <c r="F145" i="5" s="1"/>
  <c r="G145" i="5" s="1"/>
  <c r="I126" i="4"/>
  <c r="S124" i="4"/>
  <c r="I126" i="5"/>
  <c r="S124" i="5"/>
  <c r="I126" i="6"/>
  <c r="S127" i="6" s="1"/>
  <c r="F145" i="6" s="1"/>
  <c r="S124" i="6"/>
  <c r="G142" i="5"/>
  <c r="I145" i="5"/>
  <c r="I144" i="5"/>
  <c r="I143" i="5"/>
  <c r="S127" i="8"/>
  <c r="F145" i="8" s="1"/>
  <c r="I126" i="8"/>
  <c r="S124" i="8"/>
  <c r="G142" i="8"/>
  <c r="I144" i="8"/>
  <c r="I143" i="8"/>
  <c r="I126" i="7"/>
  <c r="S127" i="7" s="1"/>
  <c r="F145" i="7" s="1"/>
  <c r="S124" i="7"/>
  <c r="I126" i="9"/>
  <c r="S127" i="9" s="1"/>
  <c r="F145" i="9" s="1"/>
  <c r="G145" i="9" s="1"/>
  <c r="S124" i="9"/>
  <c r="S127" i="4"/>
  <c r="F145" i="4" s="1"/>
  <c r="I70" i="1"/>
  <c r="I80" i="1"/>
  <c r="M21" i="1"/>
  <c r="M2" i="1"/>
  <c r="M78" i="1" s="1"/>
  <c r="L69" i="1"/>
  <c r="L78" i="1"/>
  <c r="J4" i="1"/>
  <c r="K4" i="1" s="1"/>
  <c r="I32" i="1"/>
  <c r="I22" i="1"/>
  <c r="I24" i="1"/>
  <c r="M104" i="1"/>
  <c r="M94" i="1"/>
  <c r="M73" i="1"/>
  <c r="M83" i="1"/>
  <c r="M62" i="1"/>
  <c r="I145" i="7" l="1"/>
  <c r="G145" i="7"/>
  <c r="G145" i="6"/>
  <c r="I145" i="6"/>
  <c r="I145" i="4"/>
  <c r="G145" i="4"/>
  <c r="I145" i="8"/>
  <c r="G145" i="8"/>
  <c r="I145" i="9"/>
  <c r="I30" i="1"/>
  <c r="I31" i="1"/>
  <c r="J31" i="1" s="1"/>
  <c r="K31" i="1" s="1"/>
  <c r="I18" i="1"/>
  <c r="I6" i="1"/>
  <c r="I15" i="1" s="1"/>
  <c r="I20" i="1" s="1"/>
  <c r="N21" i="1"/>
  <c r="I68" i="1"/>
  <c r="I71" i="1" s="1"/>
  <c r="I74" i="1" s="1"/>
  <c r="M68" i="1"/>
  <c r="N2" i="1"/>
  <c r="M50" i="1"/>
  <c r="M69" i="1"/>
  <c r="M59" i="1"/>
  <c r="I99" i="1"/>
  <c r="I102" i="1" s="1"/>
  <c r="I105" i="1" s="1"/>
  <c r="I89" i="1"/>
  <c r="I92" i="1" s="1"/>
  <c r="I95" i="1" s="1"/>
  <c r="J22" i="1"/>
  <c r="J17" i="1" s="1"/>
  <c r="J13" i="1"/>
  <c r="J8" i="1" s="1"/>
  <c r="N68" i="1"/>
  <c r="N78" i="1"/>
  <c r="I43" i="1"/>
  <c r="J24" i="1"/>
  <c r="I35" i="1"/>
  <c r="J35" i="1" s="1"/>
  <c r="K35" i="1" s="1"/>
  <c r="L35" i="1" s="1"/>
  <c r="M35" i="1" s="1"/>
  <c r="N35" i="1" s="1"/>
  <c r="O35" i="1" s="1"/>
  <c r="P35" i="1" s="1"/>
  <c r="Q35" i="1" s="1"/>
  <c r="I78" i="1"/>
  <c r="I81" i="1" s="1"/>
  <c r="I84" i="1" s="1"/>
  <c r="N104" i="1"/>
  <c r="N94" i="1"/>
  <c r="N73" i="1"/>
  <c r="N83" i="1"/>
  <c r="N62" i="1"/>
  <c r="L4" i="1"/>
  <c r="K22" i="1"/>
  <c r="K17" i="1" s="1"/>
  <c r="K13" i="1"/>
  <c r="K8" i="1" s="1"/>
  <c r="I42" i="1" l="1"/>
  <c r="I41" i="1"/>
  <c r="J59" i="1"/>
  <c r="J50" i="1"/>
  <c r="K70" i="1"/>
  <c r="K20" i="1"/>
  <c r="O21" i="1"/>
  <c r="K59" i="1"/>
  <c r="K50" i="1"/>
  <c r="J70" i="1"/>
  <c r="J71" i="1" s="1"/>
  <c r="J20" i="1"/>
  <c r="I21" i="1"/>
  <c r="J21" i="1" s="1"/>
  <c r="K21" i="1" s="1"/>
  <c r="J6" i="1"/>
  <c r="K6" i="1"/>
  <c r="O2" i="1"/>
  <c r="O78" i="1" s="1"/>
  <c r="N50" i="1"/>
  <c r="N69" i="1"/>
  <c r="N59" i="1"/>
  <c r="J80" i="1"/>
  <c r="J81" i="1" s="1"/>
  <c r="J84" i="1" s="1"/>
  <c r="I120" i="1"/>
  <c r="I123" i="1" s="1"/>
  <c r="I110" i="1"/>
  <c r="I113" i="1" s="1"/>
  <c r="K24" i="1"/>
  <c r="L24" i="1" s="1"/>
  <c r="J32" i="1"/>
  <c r="R35" i="1"/>
  <c r="K80" i="1"/>
  <c r="O94" i="1"/>
  <c r="O104" i="1"/>
  <c r="O73" i="1"/>
  <c r="O83" i="1"/>
  <c r="O62" i="1"/>
  <c r="M4" i="1"/>
  <c r="L22" i="1"/>
  <c r="L17" i="1" s="1"/>
  <c r="L13" i="1"/>
  <c r="L70" i="1" l="1"/>
  <c r="L20" i="1"/>
  <c r="P21" i="1"/>
  <c r="L59" i="1"/>
  <c r="K57" i="1"/>
  <c r="K60" i="1" s="1"/>
  <c r="K63" i="1" s="1"/>
  <c r="K11" i="1"/>
  <c r="J48" i="1"/>
  <c r="J51" i="1" s="1"/>
  <c r="J54" i="1" s="1"/>
  <c r="J11" i="1"/>
  <c r="O68" i="1"/>
  <c r="J57" i="1"/>
  <c r="J60" i="1" s="1"/>
  <c r="J63" i="1" s="1"/>
  <c r="L12" i="1"/>
  <c r="K48" i="1"/>
  <c r="K51" i="1" s="1"/>
  <c r="K54" i="1" s="1"/>
  <c r="P2" i="1"/>
  <c r="P68" i="1" s="1"/>
  <c r="O50" i="1"/>
  <c r="O69" i="1"/>
  <c r="O59" i="1"/>
  <c r="J43" i="1"/>
  <c r="L32" i="1"/>
  <c r="M24" i="1"/>
  <c r="M32" i="1" s="1"/>
  <c r="K32" i="1"/>
  <c r="I116" i="1"/>
  <c r="I126" i="1"/>
  <c r="L80" i="1"/>
  <c r="L81" i="1" s="1"/>
  <c r="L84" i="1" s="1"/>
  <c r="P104" i="1"/>
  <c r="P94" i="1"/>
  <c r="K81" i="1"/>
  <c r="K84" i="1" s="1"/>
  <c r="P73" i="1"/>
  <c r="J74" i="1"/>
  <c r="K71" i="1"/>
  <c r="K74" i="1" s="1"/>
  <c r="P83" i="1"/>
  <c r="P62" i="1"/>
  <c r="N4" i="1"/>
  <c r="M22" i="1"/>
  <c r="M17" i="1" s="1"/>
  <c r="M13" i="1"/>
  <c r="J91" i="1" l="1"/>
  <c r="M70" i="1"/>
  <c r="M20" i="1"/>
  <c r="Q21" i="1"/>
  <c r="L48" i="1"/>
  <c r="L51" i="1" s="1"/>
  <c r="L54" i="1" s="1"/>
  <c r="L11" i="1"/>
  <c r="L57" i="1"/>
  <c r="L60" i="1" s="1"/>
  <c r="L63" i="1" s="1"/>
  <c r="P78" i="1"/>
  <c r="L43" i="1"/>
  <c r="Q2" i="1"/>
  <c r="Q68" i="1" s="1"/>
  <c r="P50" i="1"/>
  <c r="P69" i="1"/>
  <c r="P59" i="1"/>
  <c r="N24" i="1"/>
  <c r="N32" i="1" s="1"/>
  <c r="J92" i="1"/>
  <c r="J95" i="1" s="1"/>
  <c r="J101" i="1"/>
  <c r="J102" i="1" s="1"/>
  <c r="J105" i="1" s="1"/>
  <c r="K43" i="1"/>
  <c r="M43" i="1"/>
  <c r="M80" i="1"/>
  <c r="Q104" i="1"/>
  <c r="Q94" i="1"/>
  <c r="Q73" i="1"/>
  <c r="L71" i="1"/>
  <c r="L74" i="1" s="1"/>
  <c r="Q83" i="1"/>
  <c r="Q62" i="1"/>
  <c r="O4" i="1"/>
  <c r="N22" i="1"/>
  <c r="N17" i="1" s="1"/>
  <c r="N13" i="1"/>
  <c r="K91" i="1" l="1"/>
  <c r="K92" i="1" s="1"/>
  <c r="K95" i="1" s="1"/>
  <c r="M12" i="1"/>
  <c r="M57" i="1"/>
  <c r="M60" i="1" s="1"/>
  <c r="M63" i="1" s="1"/>
  <c r="R21" i="1"/>
  <c r="N70" i="1"/>
  <c r="N20" i="1"/>
  <c r="M48" i="1"/>
  <c r="M51" i="1" s="1"/>
  <c r="Q78" i="1"/>
  <c r="N12" i="1"/>
  <c r="R2" i="1"/>
  <c r="R68" i="1" s="1"/>
  <c r="Q50" i="1"/>
  <c r="Q69" i="1"/>
  <c r="Q59" i="1"/>
  <c r="K41" i="1"/>
  <c r="O24" i="1"/>
  <c r="P24" i="1" s="1"/>
  <c r="L41" i="1"/>
  <c r="L120" i="1"/>
  <c r="L110" i="1"/>
  <c r="K101" i="1"/>
  <c r="K102" i="1" s="1"/>
  <c r="K105" i="1" s="1"/>
  <c r="N43" i="1"/>
  <c r="N80" i="1"/>
  <c r="N81" i="1" s="1"/>
  <c r="N84" i="1" s="1"/>
  <c r="R94" i="1"/>
  <c r="R104" i="1"/>
  <c r="M81" i="1"/>
  <c r="M84" i="1" s="1"/>
  <c r="R73" i="1"/>
  <c r="M71" i="1"/>
  <c r="M74" i="1" s="1"/>
  <c r="R83" i="1"/>
  <c r="R62" i="1"/>
  <c r="P4" i="1"/>
  <c r="O22" i="1"/>
  <c r="O17" i="1" s="1"/>
  <c r="O13" i="1"/>
  <c r="O70" i="1" l="1"/>
  <c r="O20" i="1"/>
  <c r="N48" i="1"/>
  <c r="N51" i="1" s="1"/>
  <c r="N54" i="1" s="1"/>
  <c r="N11" i="1"/>
  <c r="N57" i="1"/>
  <c r="N60" i="1" s="1"/>
  <c r="N63" i="1" s="1"/>
  <c r="O12" i="1"/>
  <c r="R78" i="1"/>
  <c r="R50" i="1"/>
  <c r="R69" i="1"/>
  <c r="R59" i="1"/>
  <c r="O32" i="1"/>
  <c r="L122" i="1"/>
  <c r="L123" i="1" s="1"/>
  <c r="L126" i="1" s="1"/>
  <c r="L112" i="1"/>
  <c r="L113" i="1" s="1"/>
  <c r="L116" i="1" s="1"/>
  <c r="K120" i="1"/>
  <c r="K110" i="1"/>
  <c r="M41" i="1"/>
  <c r="M120" i="1"/>
  <c r="M110" i="1"/>
  <c r="M54" i="1"/>
  <c r="O80" i="1"/>
  <c r="Q24" i="1"/>
  <c r="P32" i="1"/>
  <c r="N71" i="1"/>
  <c r="N74" i="1" s="1"/>
  <c r="Q4" i="1"/>
  <c r="P22" i="1"/>
  <c r="P17" i="1" s="1"/>
  <c r="P13" i="1"/>
  <c r="P70" i="1" l="1"/>
  <c r="P20" i="1"/>
  <c r="O48" i="1"/>
  <c r="O11" i="1"/>
  <c r="O43" i="1"/>
  <c r="O57" i="1"/>
  <c r="O60" i="1" s="1"/>
  <c r="O63" i="1" s="1"/>
  <c r="M122" i="1"/>
  <c r="M123" i="1" s="1"/>
  <c r="M126" i="1" s="1"/>
  <c r="M112" i="1"/>
  <c r="M113" i="1" s="1"/>
  <c r="M116" i="1" s="1"/>
  <c r="N41" i="1"/>
  <c r="N120" i="1"/>
  <c r="N110" i="1"/>
  <c r="K122" i="1"/>
  <c r="K123" i="1" s="1"/>
  <c r="K126" i="1" s="1"/>
  <c r="K112" i="1"/>
  <c r="K113" i="1" s="1"/>
  <c r="K116" i="1" s="1"/>
  <c r="O51" i="1"/>
  <c r="O54" i="1" s="1"/>
  <c r="P43" i="1"/>
  <c r="P80" i="1"/>
  <c r="O81" i="1"/>
  <c r="O84" i="1" s="1"/>
  <c r="O71" i="1"/>
  <c r="O74" i="1" s="1"/>
  <c r="R24" i="1"/>
  <c r="Q32" i="1"/>
  <c r="R4" i="1"/>
  <c r="Q22" i="1"/>
  <c r="Q17" i="1" s="1"/>
  <c r="Q13" i="1"/>
  <c r="Q70" i="1" l="1"/>
  <c r="Q20" i="1"/>
  <c r="P12" i="1"/>
  <c r="P11" i="1"/>
  <c r="O120" i="1"/>
  <c r="O110" i="1"/>
  <c r="N122" i="1"/>
  <c r="N123" i="1" s="1"/>
  <c r="N126" i="1" s="1"/>
  <c r="N112" i="1"/>
  <c r="N113" i="1" s="1"/>
  <c r="N116" i="1" s="1"/>
  <c r="O41" i="1"/>
  <c r="Q43" i="1"/>
  <c r="P41" i="1"/>
  <c r="Q80" i="1"/>
  <c r="Q81" i="1" s="1"/>
  <c r="Q84" i="1" s="1"/>
  <c r="P81" i="1"/>
  <c r="P84" i="1" s="1"/>
  <c r="P71" i="1"/>
  <c r="P74" i="1" s="1"/>
  <c r="R32" i="1"/>
  <c r="R22" i="1"/>
  <c r="R13" i="1"/>
  <c r="P48" i="1" l="1"/>
  <c r="P51" i="1" s="1"/>
  <c r="P54" i="1" s="1"/>
  <c r="P57" i="1"/>
  <c r="P60" i="1" s="1"/>
  <c r="P63" i="1" s="1"/>
  <c r="Q57" i="1"/>
  <c r="Q60" i="1" s="1"/>
  <c r="Q63" i="1" s="1"/>
  <c r="O122" i="1"/>
  <c r="O123" i="1" s="1"/>
  <c r="O126" i="1" s="1"/>
  <c r="O112" i="1"/>
  <c r="O113" i="1" s="1"/>
  <c r="O116" i="1" s="1"/>
  <c r="P122" i="1"/>
  <c r="P112" i="1"/>
  <c r="P120" i="1"/>
  <c r="P110" i="1"/>
  <c r="R43" i="1"/>
  <c r="Q41" i="1"/>
  <c r="R17" i="1"/>
  <c r="R20" i="1" s="1"/>
  <c r="S22" i="1"/>
  <c r="S13" i="1"/>
  <c r="S32" i="1"/>
  <c r="Q71" i="1"/>
  <c r="Q74" i="1" s="1"/>
  <c r="Q12" i="1" l="1"/>
  <c r="Q11" i="1"/>
  <c r="Q48" i="1"/>
  <c r="Q51" i="1" s="1"/>
  <c r="Q54" i="1" s="1"/>
  <c r="R12" i="1"/>
  <c r="P123" i="1"/>
  <c r="P126" i="1" s="1"/>
  <c r="P113" i="1"/>
  <c r="P116" i="1" s="1"/>
  <c r="S43" i="1"/>
  <c r="R80" i="1"/>
  <c r="R81" i="1" s="1"/>
  <c r="S82" i="1" s="1"/>
  <c r="R70" i="1"/>
  <c r="R71" i="1" s="1"/>
  <c r="Q122" i="1"/>
  <c r="Q112" i="1"/>
  <c r="Q120" i="1"/>
  <c r="Q110" i="1"/>
  <c r="J136" i="1"/>
  <c r="J141" i="1" s="1"/>
  <c r="R57" i="1" l="1"/>
  <c r="R60" i="1" s="1"/>
  <c r="R41" i="1"/>
  <c r="R11" i="1"/>
  <c r="R48" i="1"/>
  <c r="R51" i="1" s="1"/>
  <c r="R54" i="1" s="1"/>
  <c r="R84" i="1"/>
  <c r="S85" i="1" s="1"/>
  <c r="F143" i="1" s="1"/>
  <c r="G143" i="1" s="1"/>
  <c r="Q123" i="1"/>
  <c r="Q126" i="1" s="1"/>
  <c r="Q113" i="1"/>
  <c r="Q116" i="1" s="1"/>
  <c r="R122" i="1"/>
  <c r="R112" i="1"/>
  <c r="R120" i="1"/>
  <c r="R110" i="1"/>
  <c r="R63" i="1"/>
  <c r="S72" i="1"/>
  <c r="R74" i="1"/>
  <c r="S75" i="1" s="1"/>
  <c r="F137" i="1" s="1"/>
  <c r="R123" i="1" l="1"/>
  <c r="R113" i="1"/>
  <c r="R116" i="1" s="1"/>
  <c r="R126" i="1"/>
  <c r="I48" i="1" l="1"/>
  <c r="I57" i="1"/>
  <c r="I12" i="1"/>
  <c r="J12" i="1" s="1"/>
  <c r="K12" i="1" s="1"/>
  <c r="I11" i="1" l="1"/>
  <c r="I59" i="1"/>
  <c r="I60" i="1" s="1"/>
  <c r="I50" i="1"/>
  <c r="I51" i="1" s="1"/>
  <c r="S61" i="1" l="1"/>
  <c r="I63" i="1"/>
  <c r="S64" i="1" s="1"/>
  <c r="F142" i="1" s="1"/>
  <c r="G142" i="1" s="1"/>
  <c r="S52" i="1"/>
  <c r="I54" i="1"/>
  <c r="S55" i="1" s="1"/>
  <c r="F136" i="1" s="1"/>
  <c r="I137" i="1" l="1"/>
  <c r="I143" i="1"/>
  <c r="L89" i="1"/>
  <c r="L99" i="1"/>
  <c r="L31" i="1"/>
  <c r="L27" i="1"/>
  <c r="L101" i="1" s="1"/>
  <c r="M99" i="1"/>
  <c r="M31" i="1"/>
  <c r="M89" i="1"/>
  <c r="L102" i="1" l="1"/>
  <c r="L30" i="1"/>
  <c r="M101" i="1"/>
  <c r="M102" i="1" s="1"/>
  <c r="M105" i="1" s="1"/>
  <c r="M91" i="1"/>
  <c r="M92" i="1" s="1"/>
  <c r="M95" i="1" s="1"/>
  <c r="L91" i="1"/>
  <c r="L92" i="1" s="1"/>
  <c r="L95" i="1" l="1"/>
  <c r="L105" i="1"/>
  <c r="R89" i="1"/>
  <c r="Q99" i="1"/>
  <c r="N89" i="1"/>
  <c r="R101" i="1"/>
  <c r="R102" i="1" s="1"/>
  <c r="R105" i="1" s="1"/>
  <c r="R91" i="1"/>
  <c r="R92" i="1" s="1"/>
  <c r="R95" i="1" s="1"/>
  <c r="P89" i="1"/>
  <c r="N99" i="1"/>
  <c r="P30" i="1"/>
  <c r="P91" i="1"/>
  <c r="Q89" i="1"/>
  <c r="O30" i="1"/>
  <c r="P99" i="1"/>
  <c r="O89" i="1"/>
  <c r="O99" i="1"/>
  <c r="Q91" i="1"/>
  <c r="R30" i="1"/>
  <c r="N30" i="1"/>
  <c r="N101" i="1"/>
  <c r="N102" i="1" s="1"/>
  <c r="N31" i="1"/>
  <c r="N91" i="1"/>
  <c r="N92" i="1" s="1"/>
  <c r="O31" i="1"/>
  <c r="Q31" i="1"/>
  <c r="R31" i="1"/>
  <c r="R99" i="1"/>
  <c r="P31" i="1"/>
  <c r="P92" i="1" l="1"/>
  <c r="P95" i="1" s="1"/>
  <c r="N105" i="1"/>
  <c r="Q92" i="1"/>
  <c r="Q95" i="1" s="1"/>
  <c r="O102" i="1"/>
  <c r="O105" i="1" s="1"/>
  <c r="N95" i="1"/>
  <c r="Q101" i="1"/>
  <c r="Q102" i="1" s="1"/>
  <c r="Q105" i="1" s="1"/>
  <c r="O91" i="1"/>
  <c r="O92" i="1" s="1"/>
  <c r="O95" i="1" s="1"/>
  <c r="P101" i="1"/>
  <c r="P102" i="1" s="1"/>
  <c r="P105" i="1" s="1"/>
  <c r="Q30" i="1"/>
  <c r="O101" i="1"/>
  <c r="S93" i="1" l="1"/>
  <c r="S96" i="1"/>
  <c r="F138" i="1" s="1"/>
  <c r="I138" i="1" s="1"/>
  <c r="S106" i="1"/>
  <c r="F144" i="1" s="1"/>
  <c r="S103" i="1"/>
  <c r="J120" i="1"/>
  <c r="I144" i="1" l="1"/>
  <c r="G144" i="1"/>
  <c r="J110" i="1"/>
  <c r="J122" i="1" l="1"/>
  <c r="J123" i="1" s="1"/>
  <c r="J112" i="1"/>
  <c r="J113" i="1" s="1"/>
  <c r="J41" i="1"/>
  <c r="J116" i="1" l="1"/>
  <c r="S117" i="1" s="1"/>
  <c r="F139" i="1" s="1"/>
  <c r="I139" i="1" s="1"/>
  <c r="S114" i="1"/>
  <c r="J126" i="1"/>
  <c r="S127" i="1" s="1"/>
  <c r="F145" i="1" s="1"/>
  <c r="S124" i="1"/>
  <c r="I145" i="1" l="1"/>
  <c r="G14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tc={0B2E021C-F37F-9B4D-8A64-9A0E5BA9E092}</author>
    <author>tc={90C0A3AF-28B3-584F-BC6E-B7AEE2051341}</author>
    <author>tc={6D1052E3-7633-2B4B-95DE-3784BD600D94}</author>
    <author>tc={C1983151-6225-684D-B42D-772A7D9C6E63}</author>
    <author>tc={649DE87E-3574-E841-9068-90B61F40332C}</author>
    <author>tc={27904B05-292E-C54F-9C97-D47C18EF8B2C}</author>
    <author>tc={5B7ED4F5-40A8-E74E-8DAF-A36E7A2D217E}</author>
    <author>tc={05986617-7AE7-8B43-9D43-56BF9FFC1F58}</author>
    <author>tc={1251BC69-040E-7C4D-987C-0687AEC9791D}</author>
    <author>tc={0A82E18C-8D56-B24D-B85D-EAA922E6E28E}</author>
    <author>tc={502B4386-265F-2544-9CB5-3C01F3B0BC86}</author>
    <author>tc={A92B59E9-BC1E-4F4F-9E6E-25AD9AD912A4}</author>
    <author>tc={9DC17B42-CC05-9544-9C91-17C464363B60}</author>
    <author>tc={3AD0CBC4-9BD8-A844-AAA4-E620E1060E21}</author>
    <author>tc={6458B7D0-AF9F-F44B-A6BA-E851746A5C52}</author>
    <author>tc={9F87A64A-8F9F-8B41-B53D-BAFED2BEB97A}</author>
    <author>tc={59607398-B9DC-584E-BF18-6BADCBEC2DAD}</author>
    <author>tc={CCB54A30-3413-7845-90F4-3FA8BC3ADC46}</author>
    <author>tc={45275D03-5C99-A14C-8173-517ACC2C1022}</author>
    <author>tc={115C98A1-3F26-634B-A012-023FFE43A4A2}</author>
    <author>tc={03C00B67-ADE5-DB4F-8F49-2A0A9F6B81AB}</author>
    <author>tc={6C60A326-32AE-834E-BE94-7BFB6ED84655}</author>
    <author>tc={E4C6F89C-0569-EB41-83B4-0768ED05DE26}</author>
    <author>tc={E881FCE9-4937-9845-8192-E619A3EA8F02}</author>
  </authors>
  <commentList>
    <comment ref="E2" authorId="0" shapeId="0" xr:uid="{0B2E021C-F37F-9B4D-8A64-9A0E5BA9E092}">
      <text>
        <t>[Threaded comment]
Your version of Excel allows you to read this threaded comment; however, any edits to it will get removed if the file is opened in a newer version of Excel. Learn more: https://go.microsoft.com/fwlink/?linkid=870924
Comment:
    data from Oct 24, 2025 email from P Henderson</t>
      </text>
    </comment>
    <comment ref="E6" authorId="1" shapeId="0" xr:uid="{90C0A3AF-28B3-584F-BC6E-B7AEE2051341}">
      <text>
        <t>[Threaded comment]
Your version of Excel allows you to read this threaded comment; however, any edits to it will get removed if the file is opened in a newer version of Excel. Learn more: https://go.microsoft.com/fwlink/?linkid=870924
Comment:
    separated out CoV waste -assumed as email stated far lower number</t>
      </text>
    </comment>
    <comment ref="F6" authorId="2" shapeId="0" xr:uid="{6D1052E3-7633-2B4B-95DE-3784BD600D94}">
      <text>
        <t>[Threaded comment]
Your version of Excel allows you to read this threaded comment; however, any edits to it will get removed if the file is opened in a newer version of Excel. Learn more: https://go.microsoft.com/fwlink/?linkid=870924
Comment:
    using 2022 data as do not have other piece of CoV waste</t>
      </text>
    </comment>
    <comment ref="E9" authorId="3" shapeId="0" xr:uid="{C1983151-6225-684D-B42D-772A7D9C6E63}">
      <text>
        <t>[Threaded comment]
Your version of Excel allows you to read this threaded comment; however, any edits to it will get removed if the file is opened in a newer version of Excel. Learn more: https://go.microsoft.com/fwlink/?linkid=870924
Comment:
    used difference in 2022 to allocate</t>
      </text>
    </comment>
    <comment ref="F9" authorId="4" shapeId="0" xr:uid="{649DE87E-3574-E841-9068-90B61F40332C}">
      <text>
        <t>[Threaded comment]
Your version of Excel allows you to read this threaded comment; however, any edits to it will get removed if the file is opened in a newer version of Excel. Learn more: https://go.microsoft.com/fwlink/?linkid=870924
Comment:
    using 2022 data as do not have other piece of CoV waste</t>
      </text>
    </comment>
    <comment ref="E10" authorId="5" shapeId="0" xr:uid="{27904B05-292E-C54F-9C97-D47C18EF8B2C}">
      <text>
        <t>[Threaded comment]
Your version of Excel allows you to read this threaded comment; however, any edits to it will get removed if the file is opened in a newer version of Excel. Learn more: https://go.microsoft.com/fwlink/?linkid=870924
Comment:
    used 2022 numbers as not reported</t>
      </text>
    </comment>
    <comment ref="F10" authorId="6" shapeId="0" xr:uid="{5B7ED4F5-40A8-E74E-8DAF-A36E7A2D217E}">
      <text>
        <t>[Threaded comment]
Your version of Excel allows you to read this threaded comment; however, any edits to it will get removed if the file is opened in a newer version of Excel. Learn more: https://go.microsoft.com/fwlink/?linkid=870924
Comment:
    using 2022 data as no new data</t>
      </text>
    </comment>
    <comment ref="H24" authorId="7" shapeId="0" xr:uid="{05986617-7AE7-8B43-9D43-56BF9FFC1F58}">
      <text>
        <t>[Threaded comment]
Your version of Excel allows you to read this threaded comment; however, any edits to it will get removed if the file is opened in a newer version of Excel. Learn more: https://go.microsoft.com/fwlink/?linkid=870924
Comment:
    adjust in cell F 109</t>
      </text>
    </comment>
    <comment ref="H35" authorId="8" shapeId="0" xr:uid="{1251BC69-040E-7C4D-987C-0687AEC9791D}">
      <text>
        <t>[Threaded comment]
Your version of Excel allows you to read this threaded comment; however, any edits to it will get removed if the file is opened in a newer version of Excel. Learn more: https://go.microsoft.com/fwlink/?linkid=870924
Comment:
    adjust in cell F 109</t>
      </text>
    </comment>
    <comment ref="H47" authorId="9" shapeId="0" xr:uid="{0A82E18C-8D56-B24D-B85D-EAA922E6E28E}">
      <text>
        <t>[Threaded comment]
Your version of Excel allows you to read this threaded comment; however, any edits to it will get removed if the file is opened in a newer version of Excel. Learn more: https://go.microsoft.com/fwlink/?linkid=870924
Comment:
    Data from P. Henderson for Aug 27, 2025 meeting
Reply:
    Also Sept 2025 ZWC WTE financials
Reply:
    see next tab for details</t>
      </text>
    </comment>
    <comment ref="F53" authorId="10" shapeId="0" xr:uid="{502B4386-265F-2544-9CB5-3C01F3B0BC86}">
      <text>
        <t>[Threaded comment]
Your version of Excel allows you to read this threaded comment; however, any edits to it will get removed if the file is opened in a newer version of Excel. Learn more: https://go.microsoft.com/fwlink/?linkid=870924
Comment:
    $100M acid gas, $80 M maintenance known, $40 M maintenance future, did not include DE nor biosolids, spread over 20 years, no interest</t>
      </text>
    </comment>
    <comment ref="H57" authorId="11" shapeId="0" xr:uid="{A92B59E9-BC1E-4F4F-9E6E-25AD9AD912A4}">
      <text>
        <t>[Threaded comment]
Your version of Excel allows you to read this threaded comment; however, any edits to it will get removed if the file is opened in a newer version of Excel. Learn more: https://go.microsoft.com/fwlink/?linkid=870924
Comment:
    an overestimate as includes external landfill costs as well
Reply:
    calculated but total LF op costs /amount of waste inc reserve for closure</t>
      </text>
    </comment>
    <comment ref="H59" authorId="12" shapeId="0" xr:uid="{9DC17B42-CC05-9544-9C91-17C464363B60}">
      <text>
        <t>[Threaded comment]
Your version of Excel allows you to read this threaded comment; however, any edits to it will get removed if the file is opened in a newer version of Excel. Learn more: https://go.microsoft.com/fwlink/?linkid=870924
Comment:
    RMOW quote $103 in 2020 times 7 years of 2% increase</t>
      </text>
    </comment>
    <comment ref="F62" authorId="13" shapeId="0" xr:uid="{3AD0CBC4-9BD8-A844-AAA4-E620E1060E21}">
      <text>
        <t>[Threaded comment]
Your version of Excel allows you to read this threaded comment; however, any edits to it will get removed if the file is opened in a newer version of Excel. Learn more: https://go.microsoft.com/fwlink/?linkid=870924
Comment:
    $100M acid gas, $80 M maintenance known, $40 M maintenance future, did not include DE nor biosolids, spread over 20 years, no interest</t>
      </text>
    </comment>
    <comment ref="H78" authorId="14" shapeId="0" xr:uid="{6458B7D0-AF9F-F44B-A6BA-E851746A5C52}">
      <text>
        <t>[Threaded comment]
Your version of Excel allows you to read this threaded comment; however, any edits to it will get removed if the file is opened in a newer version of Excel. Learn more: https://go.microsoft.com/fwlink/?linkid=870924
Comment:
    an overestimate as includes eternal landfill costs as well
Reply:
    calculated but total LF op costs /amount of waste inc reserve for closure</t>
      </text>
    </comment>
    <comment ref="H80" authorId="15" shapeId="0" xr:uid="{9F87A64A-8F9F-8B41-B53D-BAFED2BEB97A}">
      <text>
        <t>[Threaded comment]
Your version of Excel allows you to read this threaded comment; however, any edits to it will get removed if the file is opened in a newer version of Excel. Learn more: https://go.microsoft.com/fwlink/?linkid=870924
Comment:
    RMOW quote $103 in 2020 times 7 years of 2% increase</t>
      </text>
    </comment>
    <comment ref="H99" authorId="16" shapeId="0" xr:uid="{59607398-B9DC-584E-BF18-6BADCBEC2DAD}">
      <text>
        <t>[Threaded comment]
Your version of Excel allows you to read this threaded comment; however, any edits to it will get removed if the file is opened in a newer version of Excel. Learn more: https://go.microsoft.com/fwlink/?linkid=870924
Comment:
    an overestimate as includes eternal landfill costs as well
Reply:
    calculated but total LF op costs /amount of waste inc reserve for closure</t>
      </text>
    </comment>
    <comment ref="H101" authorId="17" shapeId="0" xr:uid="{CCB54A30-3413-7845-90F4-3FA8BC3ADC46}">
      <text>
        <t>[Threaded comment]
Your version of Excel allows you to read this threaded comment; however, any edits to it will get removed if the file is opened in a newer version of Excel. Learn more: https://go.microsoft.com/fwlink/?linkid=870924
Comment:
    RMOW quote $103 in 2020 times 7 years of 2% increase</t>
      </text>
    </comment>
    <comment ref="H120" authorId="18" shapeId="0" xr:uid="{45275D03-5C99-A14C-8173-517ACC2C1022}">
      <text>
        <t>[Threaded comment]
Your version of Excel allows you to read this threaded comment; however, any edits to it will get removed if the file is opened in a newer version of Excel. Learn more: https://go.microsoft.com/fwlink/?linkid=870924
Comment:
    an overestimate as includes eternal landfill costs as well
Reply:
    calculated but total LF op costs /amount of waste inc reserve for closure</t>
      </text>
    </comment>
    <comment ref="H122" authorId="19" shapeId="0" xr:uid="{115C98A1-3F26-634B-A012-023FFE43A4A2}">
      <text>
        <t>[Threaded comment]
Your version of Excel allows you to read this threaded comment; however, any edits to it will get removed if the file is opened in a newer version of Excel. Learn more: https://go.microsoft.com/fwlink/?linkid=870924
Comment:
    RMOW quote $103 in 2020 times 7 years of 2% increase</t>
      </text>
    </comment>
    <comment ref="H138" authorId="20" shapeId="0" xr:uid="{03C00B67-ADE5-DB4F-8F49-2A0A9F6B81AB}">
      <text>
        <t>[Threaded comment]
Your version of Excel allows you to read this threaded comment; however, any edits to it will get removed if the file is opened in a newer version of Excel. Learn more: https://go.microsoft.com/fwlink/?linkid=870924
Comment:
    $10M per year on ZW initiatives</t>
      </text>
    </comment>
    <comment ref="H139" authorId="21" shapeId="0" xr:uid="{6C60A326-32AE-834E-BE94-7BFB6ED84655}">
      <text>
        <t>[Threaded comment]
Your version of Excel allows you to read this threaded comment; however, any edits to it will get removed if the file is opened in a newer version of Excel. Learn more: https://go.microsoft.com/fwlink/?linkid=870924
Comment:
    $10M per year on ZW initiatives</t>
      </text>
    </comment>
    <comment ref="H144" authorId="22" shapeId="0" xr:uid="{E4C6F89C-0569-EB41-83B4-0768ED05DE26}">
      <text>
        <t>[Threaded comment]
Your version of Excel allows you to read this threaded comment; however, any edits to it will get removed if the file is opened in a newer version of Excel. Learn more: https://go.microsoft.com/fwlink/?linkid=870924
Comment:
    $10M per year on ZW initiatives</t>
      </text>
    </comment>
    <comment ref="H145" authorId="23" shapeId="0" xr:uid="{E881FCE9-4937-9845-8192-E619A3EA8F02}">
      <text>
        <t>[Threaded comment]
Your version of Excel allows you to read this threaded comment; however, any edits to it will get removed if the file is opened in a newer version of Excel. Learn more: https://go.microsoft.com/fwlink/?linkid=870924
Comment:
    $10M per year on ZW initiatives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tc={3F870754-D29C-C943-8612-1A4AE7883773}</author>
    <author>tc={68E23671-9604-8840-B160-CA7C5BE43CCD}</author>
    <author>tc={4450CDF1-19DE-9048-A575-A4C8AAA8AE66}</author>
    <author>tc={931C5BC0-75EB-7E43-896A-6EEDC969A2F5}</author>
    <author>tc={E469B611-331B-AF4E-BDF1-1B27A45ABD2F}</author>
    <author>tc={9CD6A7FC-194A-434E-8AC7-9F7F6C5DE420}</author>
    <author>tc={C325F4A6-92FB-A644-95CF-980BBC6A4080}</author>
    <author>tc={35113FBB-F7BB-D84A-AB05-916EAFDB658C}</author>
    <author>tc={158F0FDA-63D8-0841-9AF8-1161287263DA}</author>
    <author>tc={F157A010-51E2-C64D-B61A-A5F674D576BB}</author>
    <author>tc={5AD58F8F-4D7A-D246-8616-06791884E544}</author>
    <author>tc={D99602F1-6340-FF44-BE9D-3DA2B4246484}</author>
    <author>tc={245D5A9D-BD6F-BB42-A875-E00350691403}</author>
    <author>tc={FC33ADF5-F7E9-1F4E-A733-58BA4669CA2F}</author>
    <author>tc={4F5863FE-58B4-5E47-8826-16B2D299BAA1}</author>
    <author>tc={6A1EBBA3-CC60-3548-8DDD-FFA8C17B75C5}</author>
    <author>tc={A59DA958-A553-CE40-9FAB-44134468E706}</author>
    <author>tc={06DEDEB1-C6A6-2A47-A21A-CE3CB03BF304}</author>
    <author>tc={86453EA7-D170-894D-8419-92CEA64B0AA8}</author>
    <author>tc={75C08E9B-8CDC-3845-984A-0E9F7C90C5E5}</author>
    <author>tc={0CE4E66A-A524-5649-AF4E-BD5BB6225FEF}</author>
    <author>tc={32DCD441-B290-F246-A68E-AD147AC63C68}</author>
    <author>tc={EFE9E38B-B59D-0E4B-A117-2C7E8BD99E61}</author>
    <author>tc={BA253659-3BF8-4549-A0AE-8103EFEB9CCB}</author>
  </authors>
  <commentList>
    <comment ref="E2" authorId="0" shapeId="0" xr:uid="{3F870754-D29C-C943-8612-1A4AE7883773}">
      <text>
        <t>[Threaded comment]
Your version of Excel allows you to read this threaded comment; however, any edits to it will get removed if the file is opened in a newer version of Excel. Learn more: https://go.microsoft.com/fwlink/?linkid=870924
Comment:
    data from Oct 24, 2025 email from P Henderson</t>
      </text>
    </comment>
    <comment ref="E6" authorId="1" shapeId="0" xr:uid="{68E23671-9604-8840-B160-CA7C5BE43CCD}">
      <text>
        <t>[Threaded comment]
Your version of Excel allows you to read this threaded comment; however, any edits to it will get removed if the file is opened in a newer version of Excel. Learn more: https://go.microsoft.com/fwlink/?linkid=870924
Comment:
    separated out CoV waste -assumed as email stated far lower number</t>
      </text>
    </comment>
    <comment ref="F6" authorId="2" shapeId="0" xr:uid="{4450CDF1-19DE-9048-A575-A4C8AAA8AE66}">
      <text>
        <t>[Threaded comment]
Your version of Excel allows you to read this threaded comment; however, any edits to it will get removed if the file is opened in a newer version of Excel. Learn more: https://go.microsoft.com/fwlink/?linkid=870924
Comment:
    using 2022 data as do not have other piece of CoV waste</t>
      </text>
    </comment>
    <comment ref="E9" authorId="3" shapeId="0" xr:uid="{931C5BC0-75EB-7E43-896A-6EEDC969A2F5}">
      <text>
        <t>[Threaded comment]
Your version of Excel allows you to read this threaded comment; however, any edits to it will get removed if the file is opened in a newer version of Excel. Learn more: https://go.microsoft.com/fwlink/?linkid=870924
Comment:
    used difference in 2022 to allocate</t>
      </text>
    </comment>
    <comment ref="F9" authorId="4" shapeId="0" xr:uid="{E469B611-331B-AF4E-BDF1-1B27A45ABD2F}">
      <text>
        <t>[Threaded comment]
Your version of Excel allows you to read this threaded comment; however, any edits to it will get removed if the file is opened in a newer version of Excel. Learn more: https://go.microsoft.com/fwlink/?linkid=870924
Comment:
    using 2022 data as do not have other piece of CoV waste</t>
      </text>
    </comment>
    <comment ref="E10" authorId="5" shapeId="0" xr:uid="{9CD6A7FC-194A-434E-8AC7-9F7F6C5DE420}">
      <text>
        <t>[Threaded comment]
Your version of Excel allows you to read this threaded comment; however, any edits to it will get removed if the file is opened in a newer version of Excel. Learn more: https://go.microsoft.com/fwlink/?linkid=870924
Comment:
    used 2022 numbers as not reported</t>
      </text>
    </comment>
    <comment ref="F10" authorId="6" shapeId="0" xr:uid="{C325F4A6-92FB-A644-95CF-980BBC6A4080}">
      <text>
        <t>[Threaded comment]
Your version of Excel allows you to read this threaded comment; however, any edits to it will get removed if the file is opened in a newer version of Excel. Learn more: https://go.microsoft.com/fwlink/?linkid=870924
Comment:
    using 2022 data as no new data</t>
      </text>
    </comment>
    <comment ref="H24" authorId="7" shapeId="0" xr:uid="{35113FBB-F7BB-D84A-AB05-916EAFDB658C}">
      <text>
        <t>[Threaded comment]
Your version of Excel allows you to read this threaded comment; however, any edits to it will get removed if the file is opened in a newer version of Excel. Learn more: https://go.microsoft.com/fwlink/?linkid=870924
Comment:
    adjust in cell F 109</t>
      </text>
    </comment>
    <comment ref="H35" authorId="8" shapeId="0" xr:uid="{158F0FDA-63D8-0841-9AF8-1161287263DA}">
      <text>
        <t>[Threaded comment]
Your version of Excel allows you to read this threaded comment; however, any edits to it will get removed if the file is opened in a newer version of Excel. Learn more: https://go.microsoft.com/fwlink/?linkid=870924
Comment:
    adjust in cell F 109</t>
      </text>
    </comment>
    <comment ref="H47" authorId="9" shapeId="0" xr:uid="{F157A010-51E2-C64D-B61A-A5F674D576BB}">
      <text>
        <t>[Threaded comment]
Your version of Excel allows you to read this threaded comment; however, any edits to it will get removed if the file is opened in a newer version of Excel. Learn more: https://go.microsoft.com/fwlink/?linkid=870924
Comment:
    Data from P. Henderson for Aug 27, 2025 meeting
Reply:
    Also Sept 2025 ZWC WTE financials
Reply:
    see next tab for details</t>
      </text>
    </comment>
    <comment ref="F53" authorId="10" shapeId="0" xr:uid="{5AD58F8F-4D7A-D246-8616-06791884E544}">
      <text>
        <t>[Threaded comment]
Your version of Excel allows you to read this threaded comment; however, any edits to it will get removed if the file is opened in a newer version of Excel. Learn more: https://go.microsoft.com/fwlink/?linkid=870924
Comment:
    $100M acid gas, $80 M maintenance known, $40 M maintenance future, did not include DE nor biosolids, spread over 20 years, no interest</t>
      </text>
    </comment>
    <comment ref="H57" authorId="11" shapeId="0" xr:uid="{D99602F1-6340-FF44-BE9D-3DA2B4246484}">
      <text>
        <t>[Threaded comment]
Your version of Excel allows you to read this threaded comment; however, any edits to it will get removed if the file is opened in a newer version of Excel. Learn more: https://go.microsoft.com/fwlink/?linkid=870924
Comment:
    an overestimate as includes external landfill costs as well
Reply:
    calculated but total LF op costs /amount of waste inc reserve for closure</t>
      </text>
    </comment>
    <comment ref="H59" authorId="12" shapeId="0" xr:uid="{245D5A9D-BD6F-BB42-A875-E00350691403}">
      <text>
        <t>[Threaded comment]
Your version of Excel allows you to read this threaded comment; however, any edits to it will get removed if the file is opened in a newer version of Excel. Learn more: https://go.microsoft.com/fwlink/?linkid=870924
Comment:
    RMOW quote $103 in 2020 times 7 years of 2% increase</t>
      </text>
    </comment>
    <comment ref="F62" authorId="13" shapeId="0" xr:uid="{FC33ADF5-F7E9-1F4E-A733-58BA4669CA2F}">
      <text>
        <t>[Threaded comment]
Your version of Excel allows you to read this threaded comment; however, any edits to it will get removed if the file is opened in a newer version of Excel. Learn more: https://go.microsoft.com/fwlink/?linkid=870924
Comment:
    $100M acid gas, $80 M maintenance known, $40 M maintenance future, did not include DE nor biosolids, spread over 20 years, no interest</t>
      </text>
    </comment>
    <comment ref="H78" authorId="14" shapeId="0" xr:uid="{4F5863FE-58B4-5E47-8826-16B2D299BAA1}">
      <text>
        <t>[Threaded comment]
Your version of Excel allows you to read this threaded comment; however, any edits to it will get removed if the file is opened in a newer version of Excel. Learn more: https://go.microsoft.com/fwlink/?linkid=870924
Comment:
    an overestimate as includes eternal landfill costs as well
Reply:
    calculated but total LF op costs /amount of waste inc reserve for closure</t>
      </text>
    </comment>
    <comment ref="H80" authorId="15" shapeId="0" xr:uid="{6A1EBBA3-CC60-3548-8DDD-FFA8C17B75C5}">
      <text>
        <t>[Threaded comment]
Your version of Excel allows you to read this threaded comment; however, any edits to it will get removed if the file is opened in a newer version of Excel. Learn more: https://go.microsoft.com/fwlink/?linkid=870924
Comment:
    RMOW quote $103 in 2020 times 7 years of 2% increase</t>
      </text>
    </comment>
    <comment ref="H99" authorId="16" shapeId="0" xr:uid="{A59DA958-A553-CE40-9FAB-44134468E706}">
      <text>
        <t>[Threaded comment]
Your version of Excel allows you to read this threaded comment; however, any edits to it will get removed if the file is opened in a newer version of Excel. Learn more: https://go.microsoft.com/fwlink/?linkid=870924
Comment:
    an overestimate as includes eternal landfill costs as well
Reply:
    calculated but total LF op costs /amount of waste inc reserve for closure</t>
      </text>
    </comment>
    <comment ref="H101" authorId="17" shapeId="0" xr:uid="{06DEDEB1-C6A6-2A47-A21A-CE3CB03BF304}">
      <text>
        <t>[Threaded comment]
Your version of Excel allows you to read this threaded comment; however, any edits to it will get removed if the file is opened in a newer version of Excel. Learn more: https://go.microsoft.com/fwlink/?linkid=870924
Comment:
    RMOW quote $103 in 2020 times 7 years of 2% increase</t>
      </text>
    </comment>
    <comment ref="H120" authorId="18" shapeId="0" xr:uid="{86453EA7-D170-894D-8419-92CEA64B0AA8}">
      <text>
        <t>[Threaded comment]
Your version of Excel allows you to read this threaded comment; however, any edits to it will get removed if the file is opened in a newer version of Excel. Learn more: https://go.microsoft.com/fwlink/?linkid=870924
Comment:
    an overestimate as includes eternal landfill costs as well
Reply:
    calculated but total LF op costs /amount of waste inc reserve for closure</t>
      </text>
    </comment>
    <comment ref="H122" authorId="19" shapeId="0" xr:uid="{75C08E9B-8CDC-3845-984A-0E9F7C90C5E5}">
      <text>
        <t>[Threaded comment]
Your version of Excel allows you to read this threaded comment; however, any edits to it will get removed if the file is opened in a newer version of Excel. Learn more: https://go.microsoft.com/fwlink/?linkid=870924
Comment:
    RMOW quote $103 in 2020 times 7 years of 2% increase</t>
      </text>
    </comment>
    <comment ref="H138" authorId="20" shapeId="0" xr:uid="{0CE4E66A-A524-5649-AF4E-BD5BB6225FEF}">
      <text>
        <t>[Threaded comment]
Your version of Excel allows you to read this threaded comment; however, any edits to it will get removed if the file is opened in a newer version of Excel. Learn more: https://go.microsoft.com/fwlink/?linkid=870924
Comment:
    $10M per year on ZW initiatives</t>
      </text>
    </comment>
    <comment ref="H139" authorId="21" shapeId="0" xr:uid="{32DCD441-B290-F246-A68E-AD147AC63C68}">
      <text>
        <t>[Threaded comment]
Your version of Excel allows you to read this threaded comment; however, any edits to it will get removed if the file is opened in a newer version of Excel. Learn more: https://go.microsoft.com/fwlink/?linkid=870924
Comment:
    $10M per year on ZW initiatives</t>
      </text>
    </comment>
    <comment ref="H144" authorId="22" shapeId="0" xr:uid="{EFE9E38B-B59D-0E4B-A117-2C7E8BD99E61}">
      <text>
        <t>[Threaded comment]
Your version of Excel allows you to read this threaded comment; however, any edits to it will get removed if the file is opened in a newer version of Excel. Learn more: https://go.microsoft.com/fwlink/?linkid=870924
Comment:
    $10M per year on ZW initiatives</t>
      </text>
    </comment>
    <comment ref="H145" authorId="23" shapeId="0" xr:uid="{BA253659-3BF8-4549-A0AE-8103EFEB9CCB}">
      <text>
        <t>[Threaded comment]
Your version of Excel allows you to read this threaded comment; however, any edits to it will get removed if the file is opened in a newer version of Excel. Learn more: https://go.microsoft.com/fwlink/?linkid=870924
Comment:
    $10M per year on ZW initiatives</t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tc={A50E6FB0-8F44-9B4F-BEF2-DBCA71C2F476}</author>
    <author>tc={A98A5846-17A5-9945-B80E-75B8085E5926}</author>
    <author>tc={34DCE707-C614-164F-AFE9-9A65612B5C8B}</author>
    <author>tc={16A6DE2C-6BA8-864D-B903-178BE67D3540}</author>
    <author>tc={29A98ABC-A6DD-B945-BEDF-04E14151F4D4}</author>
    <author>tc={2AF65E53-12FD-774F-8AAF-277C170536EA}</author>
    <author>tc={C609A15D-2E77-714D-A1EE-D693FBB658D3}</author>
    <author>tc={4BBBBF40-62BC-4D40-95AF-6D1F9D91802A}</author>
    <author>tc={A1641925-B46C-514D-B346-F3F3BE50CE33}</author>
    <author>tc={3937E7F6-2085-BC48-9433-39106E5E4D45}</author>
    <author>tc={CA7287BA-C36E-234A-9311-EB898CB4D290}</author>
    <author>tc={BCFBE7A1-55DF-2947-9D1E-34EE41EED2ED}</author>
    <author>tc={C7A6AC58-9511-954C-8F82-401D7303811A}</author>
    <author>tc={016CC28F-C2F2-9746-888E-F9396CB53FE5}</author>
    <author>tc={8134EC22-D864-8A42-A225-865B1D126018}</author>
    <author>tc={6F126AC4-08DE-5F44-AB4F-E146E1BE250C}</author>
    <author>tc={69705FCC-739D-5C4C-87DF-2E4D0EBA6281}</author>
    <author>tc={FA1B2950-1C24-924C-877A-F75AD44951B3}</author>
    <author>tc={9F0B4433-25E7-D842-B57D-ADBFCD4EDF0F}</author>
    <author>tc={ECAB854A-4066-E24E-9D6E-9B1FFB263914}</author>
    <author>tc={56896907-FD10-C641-B95B-F2E289475401}</author>
    <author>tc={30447416-1A21-6A4E-A87D-7085FE6DD98B}</author>
    <author>tc={50292791-2B1F-684F-BCB9-1B6133F19C0E}</author>
    <author>tc={608A6FA4-179C-5941-BB0F-2D3C720AAA78}</author>
  </authors>
  <commentList>
    <comment ref="E2" authorId="0" shapeId="0" xr:uid="{A50E6FB0-8F44-9B4F-BEF2-DBCA71C2F476}">
      <text>
        <t>[Threaded comment]
Your version of Excel allows you to read this threaded comment; however, any edits to it will get removed if the file is opened in a newer version of Excel. Learn more: https://go.microsoft.com/fwlink/?linkid=870924
Comment:
    data from Oct 24, 2025 email from P Henderson</t>
      </text>
    </comment>
    <comment ref="E6" authorId="1" shapeId="0" xr:uid="{A98A5846-17A5-9945-B80E-75B8085E5926}">
      <text>
        <t>[Threaded comment]
Your version of Excel allows you to read this threaded comment; however, any edits to it will get removed if the file is opened in a newer version of Excel. Learn more: https://go.microsoft.com/fwlink/?linkid=870924
Comment:
    separated out CoV waste -assumed as email stated far lower number</t>
      </text>
    </comment>
    <comment ref="F6" authorId="2" shapeId="0" xr:uid="{34DCE707-C614-164F-AFE9-9A65612B5C8B}">
      <text>
        <t>[Threaded comment]
Your version of Excel allows you to read this threaded comment; however, any edits to it will get removed if the file is opened in a newer version of Excel. Learn more: https://go.microsoft.com/fwlink/?linkid=870924
Comment:
    using 2022 data as do not have other piece of CoV waste</t>
      </text>
    </comment>
    <comment ref="E9" authorId="3" shapeId="0" xr:uid="{16A6DE2C-6BA8-864D-B903-178BE67D3540}">
      <text>
        <t>[Threaded comment]
Your version of Excel allows you to read this threaded comment; however, any edits to it will get removed if the file is opened in a newer version of Excel. Learn more: https://go.microsoft.com/fwlink/?linkid=870924
Comment:
    used difference in 2022 to allocate</t>
      </text>
    </comment>
    <comment ref="F9" authorId="4" shapeId="0" xr:uid="{29A98ABC-A6DD-B945-BEDF-04E14151F4D4}">
      <text>
        <t>[Threaded comment]
Your version of Excel allows you to read this threaded comment; however, any edits to it will get removed if the file is opened in a newer version of Excel. Learn more: https://go.microsoft.com/fwlink/?linkid=870924
Comment:
    using 2022 data as do not have other piece of CoV waste</t>
      </text>
    </comment>
    <comment ref="E10" authorId="5" shapeId="0" xr:uid="{2AF65E53-12FD-774F-8AAF-277C170536EA}">
      <text>
        <t>[Threaded comment]
Your version of Excel allows you to read this threaded comment; however, any edits to it will get removed if the file is opened in a newer version of Excel. Learn more: https://go.microsoft.com/fwlink/?linkid=870924
Comment:
    used 2022 numbers as not reported</t>
      </text>
    </comment>
    <comment ref="F10" authorId="6" shapeId="0" xr:uid="{C609A15D-2E77-714D-A1EE-D693FBB658D3}">
      <text>
        <t>[Threaded comment]
Your version of Excel allows you to read this threaded comment; however, any edits to it will get removed if the file is opened in a newer version of Excel. Learn more: https://go.microsoft.com/fwlink/?linkid=870924
Comment:
    using 2022 data as no new data</t>
      </text>
    </comment>
    <comment ref="H24" authorId="7" shapeId="0" xr:uid="{4BBBBF40-62BC-4D40-95AF-6D1F9D91802A}">
      <text>
        <t>[Threaded comment]
Your version of Excel allows you to read this threaded comment; however, any edits to it will get removed if the file is opened in a newer version of Excel. Learn more: https://go.microsoft.com/fwlink/?linkid=870924
Comment:
    adjust in cell F 109</t>
      </text>
    </comment>
    <comment ref="H35" authorId="8" shapeId="0" xr:uid="{A1641925-B46C-514D-B346-F3F3BE50CE33}">
      <text>
        <t>[Threaded comment]
Your version of Excel allows you to read this threaded comment; however, any edits to it will get removed if the file is opened in a newer version of Excel. Learn more: https://go.microsoft.com/fwlink/?linkid=870924
Comment:
    adjust in cell F 109</t>
      </text>
    </comment>
    <comment ref="H47" authorId="9" shapeId="0" xr:uid="{3937E7F6-2085-BC48-9433-39106E5E4D45}">
      <text>
        <t>[Threaded comment]
Your version of Excel allows you to read this threaded comment; however, any edits to it will get removed if the file is opened in a newer version of Excel. Learn more: https://go.microsoft.com/fwlink/?linkid=870924
Comment:
    Data from P. Henderson for Aug 27, 2025 meeting
Reply:
    Also Sept 2025 ZWC WTE financials
Reply:
    see next tab for details</t>
      </text>
    </comment>
    <comment ref="F53" authorId="10" shapeId="0" xr:uid="{CA7287BA-C36E-234A-9311-EB898CB4D290}">
      <text>
        <t>[Threaded comment]
Your version of Excel allows you to read this threaded comment; however, any edits to it will get removed if the file is opened in a newer version of Excel. Learn more: https://go.microsoft.com/fwlink/?linkid=870924
Comment:
    $100M acid gas, $80 M maintenance known, $40 M maintenance future, did not include DE nor biosolids, spread over 20 years, no interest</t>
      </text>
    </comment>
    <comment ref="H57" authorId="11" shapeId="0" xr:uid="{BCFBE7A1-55DF-2947-9D1E-34EE41EED2ED}">
      <text>
        <t>[Threaded comment]
Your version of Excel allows you to read this threaded comment; however, any edits to it will get removed if the file is opened in a newer version of Excel. Learn more: https://go.microsoft.com/fwlink/?linkid=870924
Comment:
    an overestimate as includes external landfill costs as well
Reply:
    calculated but total LF op costs /amount of waste inc reserve for closure</t>
      </text>
    </comment>
    <comment ref="H59" authorId="12" shapeId="0" xr:uid="{C7A6AC58-9511-954C-8F82-401D7303811A}">
      <text>
        <t>[Threaded comment]
Your version of Excel allows you to read this threaded comment; however, any edits to it will get removed if the file is opened in a newer version of Excel. Learn more: https://go.microsoft.com/fwlink/?linkid=870924
Comment:
    RMOW quote $103 in 2020 times 7 years of 2% increase</t>
      </text>
    </comment>
    <comment ref="F62" authorId="13" shapeId="0" xr:uid="{016CC28F-C2F2-9746-888E-F9396CB53FE5}">
      <text>
        <t>[Threaded comment]
Your version of Excel allows you to read this threaded comment; however, any edits to it will get removed if the file is opened in a newer version of Excel. Learn more: https://go.microsoft.com/fwlink/?linkid=870924
Comment:
    $100M acid gas, $80 M maintenance known, $40 M maintenance future, did not include DE nor biosolids, spread over 20 years, no interest</t>
      </text>
    </comment>
    <comment ref="H78" authorId="14" shapeId="0" xr:uid="{8134EC22-D864-8A42-A225-865B1D126018}">
      <text>
        <t>[Threaded comment]
Your version of Excel allows you to read this threaded comment; however, any edits to it will get removed if the file is opened in a newer version of Excel. Learn more: https://go.microsoft.com/fwlink/?linkid=870924
Comment:
    an overestimate as includes eternal landfill costs as well
Reply:
    calculated but total LF op costs /amount of waste inc reserve for closure</t>
      </text>
    </comment>
    <comment ref="H80" authorId="15" shapeId="0" xr:uid="{6F126AC4-08DE-5F44-AB4F-E146E1BE250C}">
      <text>
        <t>[Threaded comment]
Your version of Excel allows you to read this threaded comment; however, any edits to it will get removed if the file is opened in a newer version of Excel. Learn more: https://go.microsoft.com/fwlink/?linkid=870924
Comment:
    RMOW quote $103 in 2020 times 7 years of 2% increase</t>
      </text>
    </comment>
    <comment ref="H99" authorId="16" shapeId="0" xr:uid="{69705FCC-739D-5C4C-87DF-2E4D0EBA6281}">
      <text>
        <t>[Threaded comment]
Your version of Excel allows you to read this threaded comment; however, any edits to it will get removed if the file is opened in a newer version of Excel. Learn more: https://go.microsoft.com/fwlink/?linkid=870924
Comment:
    an overestimate as includes eternal landfill costs as well
Reply:
    calculated but total LF op costs /amount of waste inc reserve for closure</t>
      </text>
    </comment>
    <comment ref="H101" authorId="17" shapeId="0" xr:uid="{FA1B2950-1C24-924C-877A-F75AD44951B3}">
      <text>
        <t>[Threaded comment]
Your version of Excel allows you to read this threaded comment; however, any edits to it will get removed if the file is opened in a newer version of Excel. Learn more: https://go.microsoft.com/fwlink/?linkid=870924
Comment:
    RMOW quote $103 in 2020 times 7 years of 2% increase</t>
      </text>
    </comment>
    <comment ref="H120" authorId="18" shapeId="0" xr:uid="{9F0B4433-25E7-D842-B57D-ADBFCD4EDF0F}">
      <text>
        <t>[Threaded comment]
Your version of Excel allows you to read this threaded comment; however, any edits to it will get removed if the file is opened in a newer version of Excel. Learn more: https://go.microsoft.com/fwlink/?linkid=870924
Comment:
    an overestimate as includes eternal landfill costs as well
Reply:
    calculated but total LF op costs /amount of waste inc reserve for closure</t>
      </text>
    </comment>
    <comment ref="H122" authorId="19" shapeId="0" xr:uid="{ECAB854A-4066-E24E-9D6E-9B1FFB263914}">
      <text>
        <t>[Threaded comment]
Your version of Excel allows you to read this threaded comment; however, any edits to it will get removed if the file is opened in a newer version of Excel. Learn more: https://go.microsoft.com/fwlink/?linkid=870924
Comment:
    RMOW quote $103 in 2020 times 7 years of 2% increase</t>
      </text>
    </comment>
    <comment ref="H138" authorId="20" shapeId="0" xr:uid="{56896907-FD10-C641-B95B-F2E289475401}">
      <text>
        <t>[Threaded comment]
Your version of Excel allows you to read this threaded comment; however, any edits to it will get removed if the file is opened in a newer version of Excel. Learn more: https://go.microsoft.com/fwlink/?linkid=870924
Comment:
    $10M per year on ZW initiatives</t>
      </text>
    </comment>
    <comment ref="H139" authorId="21" shapeId="0" xr:uid="{30447416-1A21-6A4E-A87D-7085FE6DD98B}">
      <text>
        <t>[Threaded comment]
Your version of Excel allows you to read this threaded comment; however, any edits to it will get removed if the file is opened in a newer version of Excel. Learn more: https://go.microsoft.com/fwlink/?linkid=870924
Comment:
    $10M per year on ZW initiatives</t>
      </text>
    </comment>
    <comment ref="H144" authorId="22" shapeId="0" xr:uid="{50292791-2B1F-684F-BCB9-1B6133F19C0E}">
      <text>
        <t>[Threaded comment]
Your version of Excel allows you to read this threaded comment; however, any edits to it will get removed if the file is opened in a newer version of Excel. Learn more: https://go.microsoft.com/fwlink/?linkid=870924
Comment:
    $10M per year on ZW initiatives</t>
      </text>
    </comment>
    <comment ref="H145" authorId="23" shapeId="0" xr:uid="{608A6FA4-179C-5941-BB0F-2D3C720AAA78}">
      <text>
        <t>[Threaded comment]
Your version of Excel allows you to read this threaded comment; however, any edits to it will get removed if the file is opened in a newer version of Excel. Learn more: https://go.microsoft.com/fwlink/?linkid=870924
Comment:
    $10M per year on ZW initiatives</t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tc={F9E73A9B-5756-F84A-BFF0-826759CC6DDF}</author>
    <author>tc={4D02760A-B6DF-A24D-BBF1-9B58C1248EBF}</author>
    <author>tc={D08F40E4-DC7F-344F-909B-AAEA1B8DC49A}</author>
    <author>tc={19147F40-39C3-D446-9A58-5874E85CA321}</author>
    <author>tc={CBD75B07-7C11-C347-921F-96F3366700E9}</author>
    <author>tc={770791D7-0288-E449-92A1-CA0B7CF22073}</author>
    <author>tc={7ED5D75B-93CB-3449-AF30-FB7E4AE5D994}</author>
    <author>tc={9A4F2E3E-5EB8-DD45-8B5A-38489E83A64D}</author>
    <author>tc={9EA693F1-7AC8-3E4C-8D88-AB92837CFDA4}</author>
    <author>tc={B45D4E1A-96D2-0644-BEF9-205453ABCEDF}</author>
    <author>tc={1A87DA4A-7652-234C-9448-13A14333E9B2}</author>
    <author>tc={070B4630-3CAA-A64D-9AFB-EA8072F8741C}</author>
    <author>tc={E2FBC095-B8F2-1848-BBB0-64387C1639AE}</author>
    <author>tc={208FCAB2-9E85-3E40-91BC-12A970A3B9D8}</author>
    <author>tc={73365427-794A-F74B-BF18-11AD0BC0FC91}</author>
    <author>tc={F4DE4D5F-994C-514D-9B88-BF61088363D6}</author>
    <author>tc={BBE9B3CD-41C5-0D48-B811-A85835DA44BB}</author>
    <author>tc={2AB35A43-8700-9B47-83F5-0500BF521A55}</author>
    <author>tc={BC89E346-CF0A-9E43-A123-80980137BE9F}</author>
    <author>tc={00417088-6C67-D946-8731-F1B90F13E6D4}</author>
    <author>tc={DD75410D-E8F9-004A-8F36-F1F6A848C8C0}</author>
    <author>tc={58774106-4F35-D54B-8EF4-AC19239022E9}</author>
    <author>tc={D5AD2ADD-E171-B941-B0F0-2001BF774C33}</author>
    <author>tc={B7DB30BD-34A1-7240-BD37-D8755B9D7E73}</author>
  </authors>
  <commentList>
    <comment ref="E2" authorId="0" shapeId="0" xr:uid="{F9E73A9B-5756-F84A-BFF0-826759CC6DDF}">
      <text>
        <t>[Threaded comment]
Your version of Excel allows you to read this threaded comment; however, any edits to it will get removed if the file is opened in a newer version of Excel. Learn more: https://go.microsoft.com/fwlink/?linkid=870924
Comment:
    data from Oct 24, 2025 email from P Henderson</t>
      </text>
    </comment>
    <comment ref="E6" authorId="1" shapeId="0" xr:uid="{4D02760A-B6DF-A24D-BBF1-9B58C1248EBF}">
      <text>
        <t>[Threaded comment]
Your version of Excel allows you to read this threaded comment; however, any edits to it will get removed if the file is opened in a newer version of Excel. Learn more: https://go.microsoft.com/fwlink/?linkid=870924
Comment:
    separated out CoV waste -assumed as email stated far lower number</t>
      </text>
    </comment>
    <comment ref="F6" authorId="2" shapeId="0" xr:uid="{D08F40E4-DC7F-344F-909B-AAEA1B8DC49A}">
      <text>
        <t>[Threaded comment]
Your version of Excel allows you to read this threaded comment; however, any edits to it will get removed if the file is opened in a newer version of Excel. Learn more: https://go.microsoft.com/fwlink/?linkid=870924
Comment:
    using 2022 data as do not have other piece of CoV waste</t>
      </text>
    </comment>
    <comment ref="E9" authorId="3" shapeId="0" xr:uid="{19147F40-39C3-D446-9A58-5874E85CA321}">
      <text>
        <t>[Threaded comment]
Your version of Excel allows you to read this threaded comment; however, any edits to it will get removed if the file is opened in a newer version of Excel. Learn more: https://go.microsoft.com/fwlink/?linkid=870924
Comment:
    used difference in 2022 to allocate</t>
      </text>
    </comment>
    <comment ref="F9" authorId="4" shapeId="0" xr:uid="{CBD75B07-7C11-C347-921F-96F3366700E9}">
      <text>
        <t>[Threaded comment]
Your version of Excel allows you to read this threaded comment; however, any edits to it will get removed if the file is opened in a newer version of Excel. Learn more: https://go.microsoft.com/fwlink/?linkid=870924
Comment:
    using 2022 data as do not have other piece of CoV waste</t>
      </text>
    </comment>
    <comment ref="E10" authorId="5" shapeId="0" xr:uid="{770791D7-0288-E449-92A1-CA0B7CF22073}">
      <text>
        <t>[Threaded comment]
Your version of Excel allows you to read this threaded comment; however, any edits to it will get removed if the file is opened in a newer version of Excel. Learn more: https://go.microsoft.com/fwlink/?linkid=870924
Comment:
    used 2022 numbers as not reported</t>
      </text>
    </comment>
    <comment ref="F10" authorId="6" shapeId="0" xr:uid="{7ED5D75B-93CB-3449-AF30-FB7E4AE5D994}">
      <text>
        <t>[Threaded comment]
Your version of Excel allows you to read this threaded comment; however, any edits to it will get removed if the file is opened in a newer version of Excel. Learn more: https://go.microsoft.com/fwlink/?linkid=870924
Comment:
    using 2022 data as no new data</t>
      </text>
    </comment>
    <comment ref="H24" authorId="7" shapeId="0" xr:uid="{9A4F2E3E-5EB8-DD45-8B5A-38489E83A64D}">
      <text>
        <t>[Threaded comment]
Your version of Excel allows you to read this threaded comment; however, any edits to it will get removed if the file is opened in a newer version of Excel. Learn more: https://go.microsoft.com/fwlink/?linkid=870924
Comment:
    adjust in cell F 109</t>
      </text>
    </comment>
    <comment ref="H35" authorId="8" shapeId="0" xr:uid="{9EA693F1-7AC8-3E4C-8D88-AB92837CFDA4}">
      <text>
        <t>[Threaded comment]
Your version of Excel allows you to read this threaded comment; however, any edits to it will get removed if the file is opened in a newer version of Excel. Learn more: https://go.microsoft.com/fwlink/?linkid=870924
Comment:
    adjust in cell F 109</t>
      </text>
    </comment>
    <comment ref="H47" authorId="9" shapeId="0" xr:uid="{B45D4E1A-96D2-0644-BEF9-205453ABCEDF}">
      <text>
        <t>[Threaded comment]
Your version of Excel allows you to read this threaded comment; however, any edits to it will get removed if the file is opened in a newer version of Excel. Learn more: https://go.microsoft.com/fwlink/?linkid=870924
Comment:
    Data from P. Henderson for Aug 27, 2025 meeting
Reply:
    Also Sept 2025 ZWC WTE financials
Reply:
    see next tab for details</t>
      </text>
    </comment>
    <comment ref="F53" authorId="10" shapeId="0" xr:uid="{1A87DA4A-7652-234C-9448-13A14333E9B2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$100M acid gas, $80 M maintenance known, $40 M maintenance future, did not include DE nor biosolids, spread over 20 years, no interest
Reply:
    plus another $200M
</t>
      </text>
    </comment>
    <comment ref="H57" authorId="11" shapeId="0" xr:uid="{070B4630-3CAA-A64D-9AFB-EA8072F8741C}">
      <text>
        <t>[Threaded comment]
Your version of Excel allows you to read this threaded comment; however, any edits to it will get removed if the file is opened in a newer version of Excel. Learn more: https://go.microsoft.com/fwlink/?linkid=870924
Comment:
    an overestimate as includes external landfill costs as well
Reply:
    calculated but total LF op costs /amount of waste inc reserve for closure</t>
      </text>
    </comment>
    <comment ref="H59" authorId="12" shapeId="0" xr:uid="{E2FBC095-B8F2-1848-BBB0-64387C1639AE}">
      <text>
        <t>[Threaded comment]
Your version of Excel allows you to read this threaded comment; however, any edits to it will get removed if the file is opened in a newer version of Excel. Learn more: https://go.microsoft.com/fwlink/?linkid=870924
Comment:
    RMOW quote $103 in 2020 times 7 years of 2% increase</t>
      </text>
    </comment>
    <comment ref="F62" authorId="13" shapeId="0" xr:uid="{208FCAB2-9E85-3E40-91BC-12A970A3B9D8}">
      <text>
        <t>[Threaded comment]
Your version of Excel allows you to read this threaded comment; however, any edits to it will get removed if the file is opened in a newer version of Excel. Learn more: https://go.microsoft.com/fwlink/?linkid=870924
Comment:
    $100M acid gas, $80 M maintenance known, $40 M maintenance future, did not include DE nor biosolids, spread over 20 years, no interest</t>
      </text>
    </comment>
    <comment ref="H78" authorId="14" shapeId="0" xr:uid="{73365427-794A-F74B-BF18-11AD0BC0FC91}">
      <text>
        <t>[Threaded comment]
Your version of Excel allows you to read this threaded comment; however, any edits to it will get removed if the file is opened in a newer version of Excel. Learn more: https://go.microsoft.com/fwlink/?linkid=870924
Comment:
    an overestimate as includes eternal landfill costs as well
Reply:
    calculated but total LF op costs /amount of waste inc reserve for closure</t>
      </text>
    </comment>
    <comment ref="H80" authorId="15" shapeId="0" xr:uid="{F4DE4D5F-994C-514D-9B88-BF61088363D6}">
      <text>
        <t>[Threaded comment]
Your version of Excel allows you to read this threaded comment; however, any edits to it will get removed if the file is opened in a newer version of Excel. Learn more: https://go.microsoft.com/fwlink/?linkid=870924
Comment:
    RMOW quote $103 in 2020 times 7 years of 2% increase</t>
      </text>
    </comment>
    <comment ref="H99" authorId="16" shapeId="0" xr:uid="{BBE9B3CD-41C5-0D48-B811-A85835DA44BB}">
      <text>
        <t>[Threaded comment]
Your version of Excel allows you to read this threaded comment; however, any edits to it will get removed if the file is opened in a newer version of Excel. Learn more: https://go.microsoft.com/fwlink/?linkid=870924
Comment:
    an overestimate as includes eternal landfill costs as well
Reply:
    calculated but total LF op costs /amount of waste inc reserve for closure</t>
      </text>
    </comment>
    <comment ref="H101" authorId="17" shapeId="0" xr:uid="{2AB35A43-8700-9B47-83F5-0500BF521A55}">
      <text>
        <t>[Threaded comment]
Your version of Excel allows you to read this threaded comment; however, any edits to it will get removed if the file is opened in a newer version of Excel. Learn more: https://go.microsoft.com/fwlink/?linkid=870924
Comment:
    RMOW quote $103 in 2020 times 7 years of 2% increase</t>
      </text>
    </comment>
    <comment ref="H120" authorId="18" shapeId="0" xr:uid="{BC89E346-CF0A-9E43-A123-80980137BE9F}">
      <text>
        <t>[Threaded comment]
Your version of Excel allows you to read this threaded comment; however, any edits to it will get removed if the file is opened in a newer version of Excel. Learn more: https://go.microsoft.com/fwlink/?linkid=870924
Comment:
    an overestimate as includes eternal landfill costs as well
Reply:
    calculated but total LF op costs /amount of waste inc reserve for closure</t>
      </text>
    </comment>
    <comment ref="H122" authorId="19" shapeId="0" xr:uid="{00417088-6C67-D946-8731-F1B90F13E6D4}">
      <text>
        <t>[Threaded comment]
Your version of Excel allows you to read this threaded comment; however, any edits to it will get removed if the file is opened in a newer version of Excel. Learn more: https://go.microsoft.com/fwlink/?linkid=870924
Comment:
    RMOW quote $103 in 2020 times 7 years of 2% increase</t>
      </text>
    </comment>
    <comment ref="H138" authorId="20" shapeId="0" xr:uid="{DD75410D-E8F9-004A-8F36-F1F6A848C8C0}">
      <text>
        <t>[Threaded comment]
Your version of Excel allows you to read this threaded comment; however, any edits to it will get removed if the file is opened in a newer version of Excel. Learn more: https://go.microsoft.com/fwlink/?linkid=870924
Comment:
    $10M per year on ZW initiatives</t>
      </text>
    </comment>
    <comment ref="H139" authorId="21" shapeId="0" xr:uid="{58774106-4F35-D54B-8EF4-AC19239022E9}">
      <text>
        <t>[Threaded comment]
Your version of Excel allows you to read this threaded comment; however, any edits to it will get removed if the file is opened in a newer version of Excel. Learn more: https://go.microsoft.com/fwlink/?linkid=870924
Comment:
    $10M per year on ZW initiatives</t>
      </text>
    </comment>
    <comment ref="H144" authorId="22" shapeId="0" xr:uid="{D5AD2ADD-E171-B941-B0F0-2001BF774C33}">
      <text>
        <t>[Threaded comment]
Your version of Excel allows you to read this threaded comment; however, any edits to it will get removed if the file is opened in a newer version of Excel. Learn more: https://go.microsoft.com/fwlink/?linkid=870924
Comment:
    $10M per year on ZW initiatives</t>
      </text>
    </comment>
    <comment ref="H145" authorId="23" shapeId="0" xr:uid="{B7DB30BD-34A1-7240-BD37-D8755B9D7E73}">
      <text>
        <t>[Threaded comment]
Your version of Excel allows you to read this threaded comment; however, any edits to it will get removed if the file is opened in a newer version of Excel. Learn more: https://go.microsoft.com/fwlink/?linkid=870924
Comment:
    $10M per year on ZW initiatives</t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tc={06BFC4BC-B35A-EE43-86B1-4ACCB8ECF817}</author>
    <author>tc={E8031C76-E42F-1343-93CF-805F441C92D3}</author>
    <author>tc={4C134540-AB02-7F44-8B2E-DEE2637765E6}</author>
    <author>tc={F28AC0F6-6EA5-5F41-B829-90030E9A1269}</author>
    <author>tc={8C1E3300-05A2-5B44-AAA8-25046E6779D8}</author>
    <author>tc={B3643A29-2CCD-E947-B566-076680A41E27}</author>
    <author>tc={5B78D8EE-7387-4F4F-B524-078F3422FB8A}</author>
    <author>tc={A7AE9FD9-41CE-DB4F-A060-3DEF7D5079E8}</author>
    <author>tc={D0479E3D-9C80-FB41-AD81-F72CBC60C4D4}</author>
    <author>tc={F6BE0BFB-5EF5-5543-B466-1E8F7E7B7501}</author>
    <author>tc={E454984B-A176-AC44-8AA1-8A05F6FF5B61}</author>
    <author>tc={E57D9E28-74F2-5743-9427-C9A32A47959E}</author>
    <author>tc={D112B714-BA86-7247-8928-9AF52AE72154}</author>
    <author>tc={187D6A0C-4E19-2247-8112-07DB1BE16437}</author>
    <author>tc={6308C333-0D06-9C45-99AB-0E09D4D4531E}</author>
    <author>tc={9C530605-1989-754F-95DA-D97A5701D8D5}</author>
    <author>tc={B72BE60B-1470-6D44-A739-3A4C47B725FE}</author>
    <author>tc={7E517377-9FE5-B542-B337-81D6EEBB604C}</author>
    <author>tc={968E0379-2FE8-2646-91B6-5D899C789A32}</author>
    <author>tc={AD0B8134-F824-AD41-8004-DDDC6D023C8A}</author>
    <author>tc={BB56BD46-98E3-C349-B243-51F9D6F8E6E0}</author>
    <author>tc={529B283D-A4AC-6E4D-B46E-47C10C510DC4}</author>
    <author>tc={1FD1FE0B-BE66-4647-8AFB-4FBFFED37154}</author>
    <author>tc={508BFD4C-686C-EB4F-B3A5-13A3C06826CD}</author>
  </authors>
  <commentList>
    <comment ref="E2" authorId="0" shapeId="0" xr:uid="{06BFC4BC-B35A-EE43-86B1-4ACCB8ECF817}">
      <text>
        <t>[Threaded comment]
Your version of Excel allows you to read this threaded comment; however, any edits to it will get removed if the file is opened in a newer version of Excel. Learn more: https://go.microsoft.com/fwlink/?linkid=870924
Comment:
    data from Oct 24, 2025 email from P Henderson</t>
      </text>
    </comment>
    <comment ref="E6" authorId="1" shapeId="0" xr:uid="{E8031C76-E42F-1343-93CF-805F441C92D3}">
      <text>
        <t>[Threaded comment]
Your version of Excel allows you to read this threaded comment; however, any edits to it will get removed if the file is opened in a newer version of Excel. Learn more: https://go.microsoft.com/fwlink/?linkid=870924
Comment:
    separated out CoV waste -assumed as email stated far lower number</t>
      </text>
    </comment>
    <comment ref="F6" authorId="2" shapeId="0" xr:uid="{4C134540-AB02-7F44-8B2E-DEE2637765E6}">
      <text>
        <t>[Threaded comment]
Your version of Excel allows you to read this threaded comment; however, any edits to it will get removed if the file is opened in a newer version of Excel. Learn more: https://go.microsoft.com/fwlink/?linkid=870924
Comment:
    using 2022 data as do not have other piece of CoV waste</t>
      </text>
    </comment>
    <comment ref="E9" authorId="3" shapeId="0" xr:uid="{F28AC0F6-6EA5-5F41-B829-90030E9A1269}">
      <text>
        <t>[Threaded comment]
Your version of Excel allows you to read this threaded comment; however, any edits to it will get removed if the file is opened in a newer version of Excel. Learn more: https://go.microsoft.com/fwlink/?linkid=870924
Comment:
    used difference in 2022 to allocate</t>
      </text>
    </comment>
    <comment ref="F9" authorId="4" shapeId="0" xr:uid="{8C1E3300-05A2-5B44-AAA8-25046E6779D8}">
      <text>
        <t>[Threaded comment]
Your version of Excel allows you to read this threaded comment; however, any edits to it will get removed if the file is opened in a newer version of Excel. Learn more: https://go.microsoft.com/fwlink/?linkid=870924
Comment:
    using 2022 data as do not have other piece of CoV waste</t>
      </text>
    </comment>
    <comment ref="E10" authorId="5" shapeId="0" xr:uid="{B3643A29-2CCD-E947-B566-076680A41E27}">
      <text>
        <t>[Threaded comment]
Your version of Excel allows you to read this threaded comment; however, any edits to it will get removed if the file is opened in a newer version of Excel. Learn more: https://go.microsoft.com/fwlink/?linkid=870924
Comment:
    used 2022 numbers as not reported</t>
      </text>
    </comment>
    <comment ref="F10" authorId="6" shapeId="0" xr:uid="{5B78D8EE-7387-4F4F-B524-078F3422FB8A}">
      <text>
        <t>[Threaded comment]
Your version of Excel allows you to read this threaded comment; however, any edits to it will get removed if the file is opened in a newer version of Excel. Learn more: https://go.microsoft.com/fwlink/?linkid=870924
Comment:
    using 2022 data as no new data</t>
      </text>
    </comment>
    <comment ref="H24" authorId="7" shapeId="0" xr:uid="{A7AE9FD9-41CE-DB4F-A060-3DEF7D5079E8}">
      <text>
        <t>[Threaded comment]
Your version of Excel allows you to read this threaded comment; however, any edits to it will get removed if the file is opened in a newer version of Excel. Learn more: https://go.microsoft.com/fwlink/?linkid=870924
Comment:
    adjust in cell F 109</t>
      </text>
    </comment>
    <comment ref="H35" authorId="8" shapeId="0" xr:uid="{D0479E3D-9C80-FB41-AD81-F72CBC60C4D4}">
      <text>
        <t>[Threaded comment]
Your version of Excel allows you to read this threaded comment; however, any edits to it will get removed if the file is opened in a newer version of Excel. Learn more: https://go.microsoft.com/fwlink/?linkid=870924
Comment:
    adjust in cell F 109</t>
      </text>
    </comment>
    <comment ref="H47" authorId="9" shapeId="0" xr:uid="{F6BE0BFB-5EF5-5543-B466-1E8F7E7B7501}">
      <text>
        <t>[Threaded comment]
Your version of Excel allows you to read this threaded comment; however, any edits to it will get removed if the file is opened in a newer version of Excel. Learn more: https://go.microsoft.com/fwlink/?linkid=870924
Comment:
    Data from P. Henderson for Aug 27, 2025 meeting
Reply:
    Also Sept 2025 ZWC WTE financials
Reply:
    see next tab for details</t>
      </text>
    </comment>
    <comment ref="F53" authorId="10" shapeId="0" xr:uid="{E454984B-A176-AC44-8AA1-8A05F6FF5B61}">
      <text>
        <t>[Threaded comment]
Your version of Excel allows you to read this threaded comment; however, any edits to it will get removed if the file is opened in a newer version of Excel. Learn more: https://go.microsoft.com/fwlink/?linkid=870924
Comment:
    $100M acid gas, $80 M maintenance known, $40 M maintenance future, did not include DE nor biosolids, spread over 20 years, no interest</t>
      </text>
    </comment>
    <comment ref="H57" authorId="11" shapeId="0" xr:uid="{E57D9E28-74F2-5743-9427-C9A32A47959E}">
      <text>
        <t>[Threaded comment]
Your version of Excel allows you to read this threaded comment; however, any edits to it will get removed if the file is opened in a newer version of Excel. Learn more: https://go.microsoft.com/fwlink/?linkid=870924
Comment:
    an overestimate as includes external landfill costs as well
Reply:
    calculated but total LF op costs /amount of waste inc reserve for closure</t>
      </text>
    </comment>
    <comment ref="H59" authorId="12" shapeId="0" xr:uid="{D112B714-BA86-7247-8928-9AF52AE72154}">
      <text>
        <t>[Threaded comment]
Your version of Excel allows you to read this threaded comment; however, any edits to it will get removed if the file is opened in a newer version of Excel. Learn more: https://go.microsoft.com/fwlink/?linkid=870924
Comment:
    RMOW quote $103 in 2020 times 7 years of 2% increase</t>
      </text>
    </comment>
    <comment ref="F62" authorId="13" shapeId="0" xr:uid="{187D6A0C-4E19-2247-8112-07DB1BE16437}">
      <text>
        <t>[Threaded comment]
Your version of Excel allows you to read this threaded comment; however, any edits to it will get removed if the file is opened in a newer version of Excel. Learn more: https://go.microsoft.com/fwlink/?linkid=870924
Comment:
    $100M acid gas, $80 M maintenance known, $40 M maintenance future, did not include DE nor biosolids, spread over 20 years, no interest</t>
      </text>
    </comment>
    <comment ref="H78" authorId="14" shapeId="0" xr:uid="{6308C333-0D06-9C45-99AB-0E09D4D4531E}">
      <text>
        <t>[Threaded comment]
Your version of Excel allows you to read this threaded comment; however, any edits to it will get removed if the file is opened in a newer version of Excel. Learn more: https://go.microsoft.com/fwlink/?linkid=870924
Comment:
    an overestimate as includes eternal landfill costs as well
Reply:
    calculated but total LF op costs /amount of waste inc reserve for closure</t>
      </text>
    </comment>
    <comment ref="H80" authorId="15" shapeId="0" xr:uid="{9C530605-1989-754F-95DA-D97A5701D8D5}">
      <text>
        <t>[Threaded comment]
Your version of Excel allows you to read this threaded comment; however, any edits to it will get removed if the file is opened in a newer version of Excel. Learn more: https://go.microsoft.com/fwlink/?linkid=870924
Comment:
    RMOW quote $103 in 2020 times 7 years of 2% increase</t>
      </text>
    </comment>
    <comment ref="H99" authorId="16" shapeId="0" xr:uid="{B72BE60B-1470-6D44-A739-3A4C47B725FE}">
      <text>
        <t>[Threaded comment]
Your version of Excel allows you to read this threaded comment; however, any edits to it will get removed if the file is opened in a newer version of Excel. Learn more: https://go.microsoft.com/fwlink/?linkid=870924
Comment:
    an overestimate as includes eternal landfill costs as well
Reply:
    calculated but total LF op costs /amount of waste inc reserve for closure</t>
      </text>
    </comment>
    <comment ref="H101" authorId="17" shapeId="0" xr:uid="{7E517377-9FE5-B542-B337-81D6EEBB604C}">
      <text>
        <t>[Threaded comment]
Your version of Excel allows you to read this threaded comment; however, any edits to it will get removed if the file is opened in a newer version of Excel. Learn more: https://go.microsoft.com/fwlink/?linkid=870924
Comment:
    RMOW quote $103 in 2020 times 7 years of 2% increase</t>
      </text>
    </comment>
    <comment ref="H120" authorId="18" shapeId="0" xr:uid="{968E0379-2FE8-2646-91B6-5D899C789A32}">
      <text>
        <t>[Threaded comment]
Your version of Excel allows you to read this threaded comment; however, any edits to it will get removed if the file is opened in a newer version of Excel. Learn more: https://go.microsoft.com/fwlink/?linkid=870924
Comment:
    an overestimate as includes eternal landfill costs as well
Reply:
    calculated but total LF op costs /amount of waste inc reserve for closure</t>
      </text>
    </comment>
    <comment ref="H122" authorId="19" shapeId="0" xr:uid="{AD0B8134-F824-AD41-8004-DDDC6D023C8A}">
      <text>
        <t>[Threaded comment]
Your version of Excel allows you to read this threaded comment; however, any edits to it will get removed if the file is opened in a newer version of Excel. Learn more: https://go.microsoft.com/fwlink/?linkid=870924
Comment:
    RMOW quote $103 in 2020 times 7 years of 2% increase</t>
      </text>
    </comment>
    <comment ref="H138" authorId="20" shapeId="0" xr:uid="{BB56BD46-98E3-C349-B243-51F9D6F8E6E0}">
      <text>
        <t>[Threaded comment]
Your version of Excel allows you to read this threaded comment; however, any edits to it will get removed if the file is opened in a newer version of Excel. Learn more: https://go.microsoft.com/fwlink/?linkid=870924
Comment:
    $10M per year on ZW initiatives</t>
      </text>
    </comment>
    <comment ref="H139" authorId="21" shapeId="0" xr:uid="{529B283D-A4AC-6E4D-B46E-47C10C510DC4}">
      <text>
        <t>[Threaded comment]
Your version of Excel allows you to read this threaded comment; however, any edits to it will get removed if the file is opened in a newer version of Excel. Learn more: https://go.microsoft.com/fwlink/?linkid=870924
Comment:
    $10M per year on ZW initiatives</t>
      </text>
    </comment>
    <comment ref="H144" authorId="22" shapeId="0" xr:uid="{1FD1FE0B-BE66-4647-8AFB-4FBFFED37154}">
      <text>
        <t>[Threaded comment]
Your version of Excel allows you to read this threaded comment; however, any edits to it will get removed if the file is opened in a newer version of Excel. Learn more: https://go.microsoft.com/fwlink/?linkid=870924
Comment:
    $10M per year on ZW initiatives</t>
      </text>
    </comment>
    <comment ref="H145" authorId="23" shapeId="0" xr:uid="{508BFD4C-686C-EB4F-B3A5-13A3C06826CD}">
      <text>
        <t>[Threaded comment]
Your version of Excel allows you to read this threaded comment; however, any edits to it will get removed if the file is opened in a newer version of Excel. Learn more: https://go.microsoft.com/fwlink/?linkid=870924
Comment:
    $10M per year on ZW initiatives</t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tc={E629A8C7-B399-A14A-A6BB-D64AF7CC75F7}</author>
    <author>tc={1571EB24-BFFE-AD47-ADC9-31A09B670247}</author>
    <author>tc={14526060-D03B-9343-8112-150CD2B2CFE2}</author>
    <author>tc={CAD03EC8-3AF8-154E-B19F-26072522E491}</author>
    <author>tc={D314510F-8FB8-1049-A0DF-9F3B2A59856B}</author>
    <author>tc={8BFA685D-DCCE-1B42-AA9B-0A6477756CE4}</author>
    <author>tc={CA2CEE06-ED58-314A-A97D-A67A8595F83B}</author>
    <author>tc={0FBB6DB3-999D-1E46-95C2-6F55BD21647B}</author>
    <author>tc={D1CF6C91-1267-E541-AF76-9DAB5EE36470}</author>
    <author>tc={B3C34DCF-C8D3-4944-AF71-EA4F13630F30}</author>
    <author>tc={927611B4-AB1D-B44A-9717-5F628C86BD0D}</author>
    <author>tc={3C4FA5B5-D3EB-7749-ADE8-D0967B6DB091}</author>
    <author>tc={709202E8-2AF1-D54C-AFDF-F76D31540E1E}</author>
    <author>tc={D7E13654-A14F-2C48-A874-B6517C15C0C5}</author>
    <author>tc={8D4EA9C3-5605-1344-B680-047FB8994A06}</author>
    <author>tc={F374BD41-EDD3-694B-A47D-D981380D2A86}</author>
    <author>tc={5B346F63-B601-B94D-B3C6-E14DA4C43E3C}</author>
    <author>tc={60DA4C84-86DE-DC40-BEF4-C19B36378625}</author>
    <author>tc={14F3406A-0943-9047-95B3-18DEB2D6D62A}</author>
    <author>tc={CDD4A488-44C0-6B49-B3F3-7AADE89FCC94}</author>
    <author>tc={E5DC5718-258A-E646-8E8E-EC180F9C4643}</author>
    <author>tc={BA3317F5-70A9-6F4A-B49C-615BAA9C9039}</author>
    <author>tc={ECA90EA1-2D14-124A-99BC-49FC155E6006}</author>
    <author>tc={23AA06B5-2B1A-5A42-A4EC-4550405F629E}</author>
  </authors>
  <commentList>
    <comment ref="E2" authorId="0" shapeId="0" xr:uid="{E629A8C7-B399-A14A-A6BB-D64AF7CC75F7}">
      <text>
        <t>[Threaded comment]
Your version of Excel allows you to read this threaded comment; however, any edits to it will get removed if the file is opened in a newer version of Excel. Learn more: https://go.microsoft.com/fwlink/?linkid=870924
Comment:
    data from Oct 24, 2025 email from P Henderson</t>
      </text>
    </comment>
    <comment ref="E6" authorId="1" shapeId="0" xr:uid="{1571EB24-BFFE-AD47-ADC9-31A09B670247}">
      <text>
        <t>[Threaded comment]
Your version of Excel allows you to read this threaded comment; however, any edits to it will get removed if the file is opened in a newer version of Excel. Learn more: https://go.microsoft.com/fwlink/?linkid=870924
Comment:
    separated out CoV waste -assumed as email stated far lower number</t>
      </text>
    </comment>
    <comment ref="F6" authorId="2" shapeId="0" xr:uid="{14526060-D03B-9343-8112-150CD2B2CFE2}">
      <text>
        <t>[Threaded comment]
Your version of Excel allows you to read this threaded comment; however, any edits to it will get removed if the file is opened in a newer version of Excel. Learn more: https://go.microsoft.com/fwlink/?linkid=870924
Comment:
    using 2022 data as do not have other piece of CoV waste</t>
      </text>
    </comment>
    <comment ref="E9" authorId="3" shapeId="0" xr:uid="{CAD03EC8-3AF8-154E-B19F-26072522E491}">
      <text>
        <t>[Threaded comment]
Your version of Excel allows you to read this threaded comment; however, any edits to it will get removed if the file is opened in a newer version of Excel. Learn more: https://go.microsoft.com/fwlink/?linkid=870924
Comment:
    used difference in 2022 to allocate</t>
      </text>
    </comment>
    <comment ref="F9" authorId="4" shapeId="0" xr:uid="{D314510F-8FB8-1049-A0DF-9F3B2A59856B}">
      <text>
        <t>[Threaded comment]
Your version of Excel allows you to read this threaded comment; however, any edits to it will get removed if the file is opened in a newer version of Excel. Learn more: https://go.microsoft.com/fwlink/?linkid=870924
Comment:
    using 2022 data as do not have other piece of CoV waste</t>
      </text>
    </comment>
    <comment ref="E10" authorId="5" shapeId="0" xr:uid="{8BFA685D-DCCE-1B42-AA9B-0A6477756CE4}">
      <text>
        <t>[Threaded comment]
Your version of Excel allows you to read this threaded comment; however, any edits to it will get removed if the file is opened in a newer version of Excel. Learn more: https://go.microsoft.com/fwlink/?linkid=870924
Comment:
    used 2022 numbers as not reported</t>
      </text>
    </comment>
    <comment ref="F10" authorId="6" shapeId="0" xr:uid="{CA2CEE06-ED58-314A-A97D-A67A8595F83B}">
      <text>
        <t>[Threaded comment]
Your version of Excel allows you to read this threaded comment; however, any edits to it will get removed if the file is opened in a newer version of Excel. Learn more: https://go.microsoft.com/fwlink/?linkid=870924
Comment:
    using 2022 data as no new data</t>
      </text>
    </comment>
    <comment ref="H24" authorId="7" shapeId="0" xr:uid="{0FBB6DB3-999D-1E46-95C2-6F55BD21647B}">
      <text>
        <t>[Threaded comment]
Your version of Excel allows you to read this threaded comment; however, any edits to it will get removed if the file is opened in a newer version of Excel. Learn more: https://go.microsoft.com/fwlink/?linkid=870924
Comment:
    adjust in cell F 109</t>
      </text>
    </comment>
    <comment ref="H35" authorId="8" shapeId="0" xr:uid="{D1CF6C91-1267-E541-AF76-9DAB5EE36470}">
      <text>
        <t>[Threaded comment]
Your version of Excel allows you to read this threaded comment; however, any edits to it will get removed if the file is opened in a newer version of Excel. Learn more: https://go.microsoft.com/fwlink/?linkid=870924
Comment:
    adjust in cell F 109</t>
      </text>
    </comment>
    <comment ref="H47" authorId="9" shapeId="0" xr:uid="{B3C34DCF-C8D3-4944-AF71-EA4F13630F30}">
      <text>
        <t>[Threaded comment]
Your version of Excel allows you to read this threaded comment; however, any edits to it will get removed if the file is opened in a newer version of Excel. Learn more: https://go.microsoft.com/fwlink/?linkid=870924
Comment:
    Data from P. Henderson for Aug 27, 2025 meeting
Reply:
    Also Sept 2025 ZWC WTE financials
Reply:
    see next tab for details</t>
      </text>
    </comment>
    <comment ref="F53" authorId="10" shapeId="0" xr:uid="{927611B4-AB1D-B44A-9717-5F628C86BD0D}">
      <text>
        <t>[Threaded comment]
Your version of Excel allows you to read this threaded comment; however, any edits to it will get removed if the file is opened in a newer version of Excel. Learn more: https://go.microsoft.com/fwlink/?linkid=870924
Comment:
    $100M acid gas, $80 M maintenance known, $40 M maintenance future, did not include DE nor biosolids, spread over 20 years, no interest</t>
      </text>
    </comment>
    <comment ref="H57" authorId="11" shapeId="0" xr:uid="{3C4FA5B5-D3EB-7749-ADE8-D0967B6DB091}">
      <text>
        <t>[Threaded comment]
Your version of Excel allows you to read this threaded comment; however, any edits to it will get removed if the file is opened in a newer version of Excel. Learn more: https://go.microsoft.com/fwlink/?linkid=870924
Comment:
    an overestimate as includes external landfill costs as well
Reply:
    calculated but total LF op costs /amount of waste inc reserve for closure</t>
      </text>
    </comment>
    <comment ref="H59" authorId="12" shapeId="0" xr:uid="{709202E8-2AF1-D54C-AFDF-F76D31540E1E}">
      <text>
        <t>[Threaded comment]
Your version of Excel allows you to read this threaded comment; however, any edits to it will get removed if the file is opened in a newer version of Excel. Learn more: https://go.microsoft.com/fwlink/?linkid=870924
Comment:
    RMOW quote $103 in 2020 times 7 years of 2% increase</t>
      </text>
    </comment>
    <comment ref="F62" authorId="13" shapeId="0" xr:uid="{D7E13654-A14F-2C48-A874-B6517C15C0C5}">
      <text>
        <t>[Threaded comment]
Your version of Excel allows you to read this threaded comment; however, any edits to it will get removed if the file is opened in a newer version of Excel. Learn more: https://go.microsoft.com/fwlink/?linkid=870924
Comment:
    $100M acid gas, $80 M maintenance known, $40 M maintenance future, did not include DE nor biosolids, spread over 20 years, no interest</t>
      </text>
    </comment>
    <comment ref="H78" authorId="14" shapeId="0" xr:uid="{8D4EA9C3-5605-1344-B680-047FB8994A06}">
      <text>
        <t>[Threaded comment]
Your version of Excel allows you to read this threaded comment; however, any edits to it will get removed if the file is opened in a newer version of Excel. Learn more: https://go.microsoft.com/fwlink/?linkid=870924
Comment:
    an overestimate as includes eternal landfill costs as well
Reply:
    calculated but total LF op costs /amount of waste inc reserve for closure</t>
      </text>
    </comment>
    <comment ref="H80" authorId="15" shapeId="0" xr:uid="{F374BD41-EDD3-694B-A47D-D981380D2A86}">
      <text>
        <t>[Threaded comment]
Your version of Excel allows you to read this threaded comment; however, any edits to it will get removed if the file is opened in a newer version of Excel. Learn more: https://go.microsoft.com/fwlink/?linkid=870924
Comment:
    RMOW quote $103 in 2020 times 7 years of 2% increase</t>
      </text>
    </comment>
    <comment ref="H99" authorId="16" shapeId="0" xr:uid="{5B346F63-B601-B94D-B3C6-E14DA4C43E3C}">
      <text>
        <t>[Threaded comment]
Your version of Excel allows you to read this threaded comment; however, any edits to it will get removed if the file is opened in a newer version of Excel. Learn more: https://go.microsoft.com/fwlink/?linkid=870924
Comment:
    an overestimate as includes eternal landfill costs as well
Reply:
    calculated but total LF op costs /amount of waste inc reserve for closure</t>
      </text>
    </comment>
    <comment ref="H101" authorId="17" shapeId="0" xr:uid="{60DA4C84-86DE-DC40-BEF4-C19B36378625}">
      <text>
        <t>[Threaded comment]
Your version of Excel allows you to read this threaded comment; however, any edits to it will get removed if the file is opened in a newer version of Excel. Learn more: https://go.microsoft.com/fwlink/?linkid=870924
Comment:
    RMOW quote $103 in 2020 times 7 years of 2% increase</t>
      </text>
    </comment>
    <comment ref="H120" authorId="18" shapeId="0" xr:uid="{14F3406A-0943-9047-95B3-18DEB2D6D62A}">
      <text>
        <t>[Threaded comment]
Your version of Excel allows you to read this threaded comment; however, any edits to it will get removed if the file is opened in a newer version of Excel. Learn more: https://go.microsoft.com/fwlink/?linkid=870924
Comment:
    an overestimate as includes eternal landfill costs as well
Reply:
    calculated but total LF op costs /amount of waste inc reserve for closure</t>
      </text>
    </comment>
    <comment ref="H122" authorId="19" shapeId="0" xr:uid="{CDD4A488-44C0-6B49-B3F3-7AADE89FCC94}">
      <text>
        <t>[Threaded comment]
Your version of Excel allows you to read this threaded comment; however, any edits to it will get removed if the file is opened in a newer version of Excel. Learn more: https://go.microsoft.com/fwlink/?linkid=870924
Comment:
    RMOW quote $103 in 2020 times 7 years of 2% increase</t>
      </text>
    </comment>
    <comment ref="H138" authorId="20" shapeId="0" xr:uid="{E5DC5718-258A-E646-8E8E-EC180F9C4643}">
      <text>
        <t>[Threaded comment]
Your version of Excel allows you to read this threaded comment; however, any edits to it will get removed if the file is opened in a newer version of Excel. Learn more: https://go.microsoft.com/fwlink/?linkid=870924
Comment:
    $10M per year on ZW initiatives</t>
      </text>
    </comment>
    <comment ref="H139" authorId="21" shapeId="0" xr:uid="{BA3317F5-70A9-6F4A-B49C-615BAA9C9039}">
      <text>
        <t>[Threaded comment]
Your version of Excel allows you to read this threaded comment; however, any edits to it will get removed if the file is opened in a newer version of Excel. Learn more: https://go.microsoft.com/fwlink/?linkid=870924
Comment:
    $10M per year on ZW initiatives</t>
      </text>
    </comment>
    <comment ref="H144" authorId="22" shapeId="0" xr:uid="{ECA90EA1-2D14-124A-99BC-49FC155E6006}">
      <text>
        <t>[Threaded comment]
Your version of Excel allows you to read this threaded comment; however, any edits to it will get removed if the file is opened in a newer version of Excel. Learn more: https://go.microsoft.com/fwlink/?linkid=870924
Comment:
    $10M per year on ZW initiatives</t>
      </text>
    </comment>
    <comment ref="H145" authorId="23" shapeId="0" xr:uid="{23AA06B5-2B1A-5A42-A4EC-4550405F629E}">
      <text>
        <t>[Threaded comment]
Your version of Excel allows you to read this threaded comment; however, any edits to it will get removed if the file is opened in a newer version of Excel. Learn more: https://go.microsoft.com/fwlink/?linkid=870924
Comment:
    $10M per year on ZW initiatives</t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tc={43DC8B6D-20F1-A54A-AF9E-D20E4938242C}</author>
    <author>tc={6EEA512C-FB13-0345-81A3-6BF0A5BBA175}</author>
    <author>tc={0DE90EB4-49F0-0E4A-A493-AC15D65C54CC}</author>
    <author>tc={AE94CFA1-7B04-704C-AAA3-B2D3C757ED90}</author>
  </authors>
  <commentList>
    <comment ref="F1" authorId="0" shapeId="0" xr:uid="{43DC8B6D-20F1-A54A-AF9E-D20E4938242C}">
      <text>
        <t>[Threaded comment]
Your version of Excel allows you to read this threaded comment; however, any edits to it will get removed if the file is opened in a newer version of Excel. Learn more: https://go.microsoft.com/fwlink/?linkid=870924
Comment:
    Data from P. Henderson for Aug 27, 2025 meeting
Reply:
    Also Sept 2025 ZWC WTE financials</t>
      </text>
    </comment>
    <comment ref="H3" authorId="1" shapeId="0" xr:uid="{6EEA512C-FB13-0345-81A3-6BF0A5BBA175}">
      <text>
        <t>[Threaded comment]
Your version of Excel allows you to read this threaded comment; however, any edits to it will get removed if the file is opened in a newer version of Excel. Learn more: https://go.microsoft.com/fwlink/?linkid=870924
Comment:
    added back in $2 M revenue as noted in package from insurance to ensure usual income</t>
      </text>
    </comment>
    <comment ref="K3" authorId="2" shapeId="0" xr:uid="{0DE90EB4-49F0-0E4A-A493-AC15D65C54CC}">
      <text>
        <t>[Threaded comment]
Your version of Excel allows you to read this threaded comment; however, any edits to it will get removed if the file is opened in a newer version of Excel. Learn more: https://go.microsoft.com/fwlink/?linkid=870924
Comment:
    from ZWC agenda Sept 11 2025 p 33</t>
      </text>
    </comment>
    <comment ref="E7" authorId="3" shapeId="0" xr:uid="{AE94CFA1-7B04-704C-AAA3-B2D3C757ED90}">
      <text>
        <t>[Threaded comment]
Your version of Excel allows you to read this threaded comment; however, any edits to it will get removed if the file is opened in a newer version of Excel. Learn more: https://go.microsoft.com/fwlink/?linkid=870924
Comment:
    $100M acid gas, $80 M maintenance known, $40 M maintenance future, did not include DE nor biosolids, spread over 20 years, no interest</t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tc={949763A8-3D5B-D941-B3A9-BF2B038C3CCD}</author>
    <author>tc={EEEB9BAA-6ADD-5641-B8E3-509AAEF2A553}</author>
    <author>tc={8C3C5D04-E632-8C42-BC15-22940EA31BD2}</author>
    <author>tc={4A60F343-A974-3647-8D2D-7F67ACB5D2D8}</author>
    <author>tc={C57418CE-8292-C94C-A14D-407DC0746813}</author>
    <author>tc={21BA3063-CD8C-EA49-BB33-37C6EF4307EA}</author>
    <author>tc={8B495DF2-E163-F941-A679-9C864486EB33}</author>
    <author>tc={943A7328-D5AA-014D-BAA5-9FF9E90F8E60}</author>
    <author>tc={46E605C8-5818-0E45-A72F-BAB68D0A6688}</author>
    <author>tc={18FC5284-1635-BE41-973C-BF15F2A46A99}</author>
    <author>tc={34A23D68-DB7F-7A4C-90D6-9CB7BF119CCF}</author>
    <author>tc={B46EB4D6-73A1-904E-9F87-D1FFA9325EBE}</author>
    <author>tc={3EAA6D6A-1B9B-DE40-A5ED-481891D67E7B}</author>
    <author>tc={FD331602-A5F4-C741-A4C0-3DDB9B4B224B}</author>
    <author>tc={7306CB4F-C4C3-3C4F-9ED5-7F30EB1E0094}</author>
    <author>tc={8C856F4B-FDB8-744D-A8B1-224792E1E284}</author>
    <author>tc={DE67B76D-9979-1143-AB00-45344B0A4AEC}</author>
    <author>tc={869C125E-7BD4-4C41-9DC9-7CCF7FCA79BB}</author>
    <author>tc={BF6BD9C2-E3B5-7C46-B10D-1DC962FB4563}</author>
    <author>tc={309DC074-1E28-D34B-B42B-E4CE692D47BF}</author>
    <author>tc={E666B8E3-8745-6C4B-B593-6BAFAE88DBBA}</author>
    <author>tc={7588F603-0D40-9748-ADC4-59993E5A6D24}</author>
    <author>tc={6B73B4D5-3221-EC48-9842-EDB90DD8048C}</author>
    <author>tc={BA6E6751-4A0F-6446-B0A3-A3CF5D294306}</author>
  </authors>
  <commentList>
    <comment ref="E2" authorId="0" shapeId="0" xr:uid="{949763A8-3D5B-D941-B3A9-BF2B038C3CCD}">
      <text>
        <t>[Threaded comment]
Your version of Excel allows you to read this threaded comment; however, any edits to it will get removed if the file is opened in a newer version of Excel. Learn more: https://go.microsoft.com/fwlink/?linkid=870924
Comment:
    data from Oct 24, 2025 email from P Henderson</t>
      </text>
    </comment>
    <comment ref="E6" authorId="1" shapeId="0" xr:uid="{EEEB9BAA-6ADD-5641-B8E3-509AAEF2A553}">
      <text>
        <t>[Threaded comment]
Your version of Excel allows you to read this threaded comment; however, any edits to it will get removed if the file is opened in a newer version of Excel. Learn more: https://go.microsoft.com/fwlink/?linkid=870924
Comment:
    separated out CoV waste -assumed as email stated far lower number</t>
      </text>
    </comment>
    <comment ref="F6" authorId="2" shapeId="0" xr:uid="{8C3C5D04-E632-8C42-BC15-22940EA31BD2}">
      <text>
        <t>[Threaded comment]
Your version of Excel allows you to read this threaded comment; however, any edits to it will get removed if the file is opened in a newer version of Excel. Learn more: https://go.microsoft.com/fwlink/?linkid=870924
Comment:
    using 2022 data as do not have other piece of CoV waste</t>
      </text>
    </comment>
    <comment ref="E9" authorId="3" shapeId="0" xr:uid="{4A60F343-A974-3647-8D2D-7F67ACB5D2D8}">
      <text>
        <t>[Threaded comment]
Your version of Excel allows you to read this threaded comment; however, any edits to it will get removed if the file is opened in a newer version of Excel. Learn more: https://go.microsoft.com/fwlink/?linkid=870924
Comment:
    used difference in 2022 to allocate</t>
      </text>
    </comment>
    <comment ref="F9" authorId="4" shapeId="0" xr:uid="{C57418CE-8292-C94C-A14D-407DC0746813}">
      <text>
        <t>[Threaded comment]
Your version of Excel allows you to read this threaded comment; however, any edits to it will get removed if the file is opened in a newer version of Excel. Learn more: https://go.microsoft.com/fwlink/?linkid=870924
Comment:
    using 2022 data as do not have other piece of CoV waste</t>
      </text>
    </comment>
    <comment ref="E10" authorId="5" shapeId="0" xr:uid="{21BA3063-CD8C-EA49-BB33-37C6EF4307EA}">
      <text>
        <t>[Threaded comment]
Your version of Excel allows you to read this threaded comment; however, any edits to it will get removed if the file is opened in a newer version of Excel. Learn more: https://go.microsoft.com/fwlink/?linkid=870924
Comment:
    used 2022 numbers as not reported</t>
      </text>
    </comment>
    <comment ref="F10" authorId="6" shapeId="0" xr:uid="{8B495DF2-E163-F941-A679-9C864486EB33}">
      <text>
        <t>[Threaded comment]
Your version of Excel allows you to read this threaded comment; however, any edits to it will get removed if the file is opened in a newer version of Excel. Learn more: https://go.microsoft.com/fwlink/?linkid=870924
Comment:
    using 2022 data as no new data</t>
      </text>
    </comment>
    <comment ref="H24" authorId="7" shapeId="0" xr:uid="{943A7328-D5AA-014D-BAA5-9FF9E90F8E60}">
      <text>
        <t>[Threaded comment]
Your version of Excel allows you to read this threaded comment; however, any edits to it will get removed if the file is opened in a newer version of Excel. Learn more: https://go.microsoft.com/fwlink/?linkid=870924
Comment:
    adjust in cell F 109</t>
      </text>
    </comment>
    <comment ref="H35" authorId="8" shapeId="0" xr:uid="{46E605C8-5818-0E45-A72F-BAB68D0A6688}">
      <text>
        <t>[Threaded comment]
Your version of Excel allows you to read this threaded comment; however, any edits to it will get removed if the file is opened in a newer version of Excel. Learn more: https://go.microsoft.com/fwlink/?linkid=870924
Comment:
    adjust in cell F 109</t>
      </text>
    </comment>
    <comment ref="H47" authorId="9" shapeId="0" xr:uid="{18FC5284-1635-BE41-973C-BF15F2A46A99}">
      <text>
        <t>[Threaded comment]
Your version of Excel allows you to read this threaded comment; however, any edits to it will get removed if the file is opened in a newer version of Excel. Learn more: https://go.microsoft.com/fwlink/?linkid=870924
Comment:
    Data from P. Henderson for Aug 27, 2025 meeting
Reply:
    Also Sept 2025 ZWC WTE financials
Reply:
    see next tab for details</t>
      </text>
    </comment>
    <comment ref="F53" authorId="10" shapeId="0" xr:uid="{34A23D68-DB7F-7A4C-90D6-9CB7BF119CCF}">
      <text>
        <t>[Threaded comment]
Your version of Excel allows you to read this threaded comment; however, any edits to it will get removed if the file is opened in a newer version of Excel. Learn more: https://go.microsoft.com/fwlink/?linkid=870924
Comment:
    $100M acid gas, $80 M maintenance known, $40 M maintenance future, did not include DE nor biosolids, spread over 20 years, no interest</t>
      </text>
    </comment>
    <comment ref="H57" authorId="11" shapeId="0" xr:uid="{B46EB4D6-73A1-904E-9F87-D1FFA9325EBE}">
      <text>
        <t>[Threaded comment]
Your version of Excel allows you to read this threaded comment; however, any edits to it will get removed if the file is opened in a newer version of Excel. Learn more: https://go.microsoft.com/fwlink/?linkid=870924
Comment:
    an overestimate as includes external landfill costs as well
Reply:
    calculated but total LF op costs /amount of waste inc reserve for closure</t>
      </text>
    </comment>
    <comment ref="H59" authorId="12" shapeId="0" xr:uid="{3EAA6D6A-1B9B-DE40-A5ED-481891D67E7B}">
      <text>
        <t>[Threaded comment]
Your version of Excel allows you to read this threaded comment; however, any edits to it will get removed if the file is opened in a newer version of Excel. Learn more: https://go.microsoft.com/fwlink/?linkid=870924
Comment:
    RMOW quote $103 in 2020 times 7 years of 2% increase</t>
      </text>
    </comment>
    <comment ref="F62" authorId="13" shapeId="0" xr:uid="{FD331602-A5F4-C741-A4C0-3DDB9B4B224B}">
      <text>
        <t>[Threaded comment]
Your version of Excel allows you to read this threaded comment; however, any edits to it will get removed if the file is opened in a newer version of Excel. Learn more: https://go.microsoft.com/fwlink/?linkid=870924
Comment:
    $100M acid gas, $80 M maintenance known, $40 M maintenance future, did not include DE nor biosolids, spread over 20 years, no interest</t>
      </text>
    </comment>
    <comment ref="H78" authorId="14" shapeId="0" xr:uid="{7306CB4F-C4C3-3C4F-9ED5-7F30EB1E0094}">
      <text>
        <t>[Threaded comment]
Your version of Excel allows you to read this threaded comment; however, any edits to it will get removed if the file is opened in a newer version of Excel. Learn more: https://go.microsoft.com/fwlink/?linkid=870924
Comment:
    an overestimate as includes eternal landfill costs as well
Reply:
    calculated but total LF op costs /amount of waste inc reserve for closure</t>
      </text>
    </comment>
    <comment ref="H80" authorId="15" shapeId="0" xr:uid="{8C856F4B-FDB8-744D-A8B1-224792E1E284}">
      <text>
        <t>[Threaded comment]
Your version of Excel allows you to read this threaded comment; however, any edits to it will get removed if the file is opened in a newer version of Excel. Learn more: https://go.microsoft.com/fwlink/?linkid=870924
Comment:
    RMOW quote $103 in 2020 times 7 years of 2% increase</t>
      </text>
    </comment>
    <comment ref="H99" authorId="16" shapeId="0" xr:uid="{DE67B76D-9979-1143-AB00-45344B0A4AEC}">
      <text>
        <t>[Threaded comment]
Your version of Excel allows you to read this threaded comment; however, any edits to it will get removed if the file is opened in a newer version of Excel. Learn more: https://go.microsoft.com/fwlink/?linkid=870924
Comment:
    an overestimate as includes eternal landfill costs as well
Reply:
    calculated but total LF op costs /amount of waste inc reserve for closure</t>
      </text>
    </comment>
    <comment ref="H101" authorId="17" shapeId="0" xr:uid="{869C125E-7BD4-4C41-9DC9-7CCF7FCA79BB}">
      <text>
        <t>[Threaded comment]
Your version of Excel allows you to read this threaded comment; however, any edits to it will get removed if the file is opened in a newer version of Excel. Learn more: https://go.microsoft.com/fwlink/?linkid=870924
Comment:
    RMOW quote $103 in 2020 times 7 years of 2% increase</t>
      </text>
    </comment>
    <comment ref="H120" authorId="18" shapeId="0" xr:uid="{BF6BD9C2-E3B5-7C46-B10D-1DC962FB4563}">
      <text>
        <t>[Threaded comment]
Your version of Excel allows you to read this threaded comment; however, any edits to it will get removed if the file is opened in a newer version of Excel. Learn more: https://go.microsoft.com/fwlink/?linkid=870924
Comment:
    an overestimate as includes eternal landfill costs as well
Reply:
    calculated but total LF op costs /amount of waste inc reserve for closure</t>
      </text>
    </comment>
    <comment ref="H122" authorId="19" shapeId="0" xr:uid="{309DC074-1E28-D34B-B42B-E4CE692D47BF}">
      <text>
        <t>[Threaded comment]
Your version of Excel allows you to read this threaded comment; however, any edits to it will get removed if the file is opened in a newer version of Excel. Learn more: https://go.microsoft.com/fwlink/?linkid=870924
Comment:
    RMOW quote $103 in 2020 times 7 years of 2% increase</t>
      </text>
    </comment>
    <comment ref="H138" authorId="20" shapeId="0" xr:uid="{E666B8E3-8745-6C4B-B593-6BAFAE88DBBA}">
      <text>
        <t>[Threaded comment]
Your version of Excel allows you to read this threaded comment; however, any edits to it will get removed if the file is opened in a newer version of Excel. Learn more: https://go.microsoft.com/fwlink/?linkid=870924
Comment:
    $10M per year on ZW initiatives</t>
      </text>
    </comment>
    <comment ref="H139" authorId="21" shapeId="0" xr:uid="{7588F603-0D40-9748-ADC4-59993E5A6D24}">
      <text>
        <t>[Threaded comment]
Your version of Excel allows you to read this threaded comment; however, any edits to it will get removed if the file is opened in a newer version of Excel. Learn more: https://go.microsoft.com/fwlink/?linkid=870924
Comment:
    $10M per year on ZW initiatives</t>
      </text>
    </comment>
    <comment ref="H144" authorId="22" shapeId="0" xr:uid="{6B73B4D5-3221-EC48-9842-EDB90DD8048C}">
      <text>
        <t>[Threaded comment]
Your version of Excel allows you to read this threaded comment; however, any edits to it will get removed if the file is opened in a newer version of Excel. Learn more: https://go.microsoft.com/fwlink/?linkid=870924
Comment:
    $10M per year on ZW initiatives</t>
      </text>
    </comment>
    <comment ref="H145" authorId="23" shapeId="0" xr:uid="{BA6E6751-4A0F-6446-B0A3-A3CF5D294306}">
      <text>
        <t>[Threaded comment]
Your version of Excel allows you to read this threaded comment; however, any edits to it will get removed if the file is opened in a newer version of Excel. Learn more: https://go.microsoft.com/fwlink/?linkid=870924
Comment:
    $10M per year on ZW initiatives</t>
      </text>
    </comment>
  </commentList>
</comments>
</file>

<file path=xl/sharedStrings.xml><?xml version="1.0" encoding="utf-8"?>
<sst xmlns="http://schemas.openxmlformats.org/spreadsheetml/2006/main" count="1477" uniqueCount="137">
  <si>
    <t>Waste over time</t>
  </si>
  <si>
    <t>Existing</t>
  </si>
  <si>
    <t>Annual change</t>
  </si>
  <si>
    <t>Forecast</t>
  </si>
  <si>
    <t>Year</t>
  </si>
  <si>
    <t>Population</t>
  </si>
  <si>
    <t>Info from biennial reports and future from https://metrovancouver.org/boards/RegionalPlanning/RPL-2025-09-11-OT.pdf</t>
  </si>
  <si>
    <t>Waste per capita (t/person)</t>
  </si>
  <si>
    <t>Tonnes to Van LF</t>
  </si>
  <si>
    <t>Tonnes  to External LF</t>
  </si>
  <si>
    <t>Tonnes to private C&amp;D</t>
  </si>
  <si>
    <t>Total waste</t>
  </si>
  <si>
    <t>Status Quo</t>
  </si>
  <si>
    <t>Close incinerator</t>
  </si>
  <si>
    <t>Assumes active ZW actions starting 2027 and status quo til then</t>
  </si>
  <si>
    <t>Active zero waste with closure</t>
  </si>
  <si>
    <t>Costs Status Quo</t>
  </si>
  <si>
    <t>Status quo using Metro Van per tonne numbers for costs</t>
  </si>
  <si>
    <t>MV # 2024 disposal</t>
  </si>
  <si>
    <t>Vancouver Landfill</t>
  </si>
  <si>
    <t>External Landfill</t>
  </si>
  <si>
    <t xml:space="preserve">total disposal operating costs </t>
  </si>
  <si>
    <t>decreases as waste goes down</t>
  </si>
  <si>
    <t>Capital for WTE</t>
  </si>
  <si>
    <t>total disposal and capital costs</t>
  </si>
  <si>
    <t>total  operating cost</t>
  </si>
  <si>
    <t>total cost ops and capital</t>
  </si>
  <si>
    <t>Status quo using Metro Van per budget numbers for costs</t>
  </si>
  <si>
    <t>2022 disposal</t>
  </si>
  <si>
    <t>Close incinerator using Metro Van per budget numbers for costs</t>
  </si>
  <si>
    <t>Close incinerator using Metro Van per tonne numbers for costs</t>
  </si>
  <si>
    <t>permitted level</t>
  </si>
  <si>
    <t>Costs Options</t>
  </si>
  <si>
    <t>ZW + Close incinerator using Metro Van per tonne numbers for costs</t>
  </si>
  <si>
    <t>ZW + Close incinerator using Metro Van per budget numbers for costs</t>
  </si>
  <si>
    <t>for every tonne of waste avoided $171 saved</t>
  </si>
  <si>
    <t>for every tonne of waste avoided $117 saved</t>
  </si>
  <si>
    <t>Then puts $117-171 ROI for every tonne saved</t>
  </si>
  <si>
    <t>Comparison</t>
  </si>
  <si>
    <t>Using MV 2024 #</t>
  </si>
  <si>
    <t>Using 2022 calculated numbers</t>
  </si>
  <si>
    <t>Notes</t>
  </si>
  <si>
    <t>Does not include health benefits from closing the incinerator</t>
  </si>
  <si>
    <t>Does not include the GHG benefits from closing the incinerator</t>
  </si>
  <si>
    <t>Net savings</t>
  </si>
  <si>
    <t>tonnes avoided</t>
  </si>
  <si>
    <t>Does not include closure costs for WTE</t>
  </si>
  <si>
    <t>Does not include additional costs to meet new regulatory requirements</t>
  </si>
  <si>
    <t>Annual % change in waste</t>
  </si>
  <si>
    <t>Does not include capital costs for District Energy ($217M) and biosolids ($23 M)</t>
  </si>
  <si>
    <t>Conclusions</t>
  </si>
  <si>
    <t>Better benefits and savings from pursuing ZW</t>
  </si>
  <si>
    <t>Pursuing ZW means savings for every tonne reduced so incentives are aligned</t>
  </si>
  <si>
    <t>Health and environmental benefits from avoided pollution</t>
  </si>
  <si>
    <t>Does not include addition $110 M that would have been paid back in next 10 years after 2036</t>
  </si>
  <si>
    <t>Metro Van per tonne numbers for costs</t>
  </si>
  <si>
    <t>Method</t>
  </si>
  <si>
    <t>Sources</t>
  </si>
  <si>
    <t>2022 -costs</t>
  </si>
  <si>
    <t>2022 waste volumes</t>
  </si>
  <si>
    <t>cost per tonne</t>
  </si>
  <si>
    <t>https://metrovancouver.org/services/solid-waste/Documents/draft-iswrmp-biennial-report-2022.pdf</t>
  </si>
  <si>
    <t>operating costs (all landfills so an overestimate for VLF as external LF more expensive)</t>
  </si>
  <si>
    <t>Status quo calculated using Metro Van per budget numbers for costs</t>
  </si>
  <si>
    <t>claims that this includes 13,968 t from outside region -airport and certified destruction</t>
  </si>
  <si>
    <t>Costs and Revenue from Sep 11 2025 ZWC agenda package page 33</t>
  </si>
  <si>
    <t>Total operating costs minus revenue (edivided by total waste (did not include debt servicing costs)</t>
  </si>
  <si>
    <t>2022 electricity revenue</t>
  </si>
  <si>
    <t>2022 metals revenue</t>
  </si>
  <si>
    <t>2022- Net costs</t>
  </si>
  <si>
    <t>RMOW quote $103 in 2020 times 7 years of 2% increase</t>
  </si>
  <si>
    <t>Resort Municipality of Whistler Council package -page 10 of https://pub-rmow.escribemeetings.com/filestream.ashx?DocumentId=5647.</t>
  </si>
  <si>
    <t>From Metro Vancouver slide for August 27, 2025 meeting with ZWBC</t>
  </si>
  <si>
    <t>2024 costs</t>
  </si>
  <si>
    <t>WTE operating only, inc revenue</t>
  </si>
  <si>
    <t>2024- Net costs</t>
  </si>
  <si>
    <t>2024 electricity revenue</t>
  </si>
  <si>
    <t>2024 metals revenue</t>
  </si>
  <si>
    <t>2024 waste volumes</t>
  </si>
  <si>
    <t>Metro Van said $99.  Took MV number and  corrected for usual electricity revenue (and subtracted repair revenue as one time income and covers 2 years to get the usual number). Subtracted the special handle waste increment ($1.6M) as this has not appeared before and this material does not need to go to this facility</t>
  </si>
  <si>
    <t>total operating cost</t>
  </si>
  <si>
    <t>Capital for Incinerator</t>
  </si>
  <si>
    <t>Close Incinerator</t>
  </si>
  <si>
    <t>ZW+ Close Incinerator</t>
  </si>
  <si>
    <t>Investment in ZW</t>
  </si>
  <si>
    <t>WTE operating</t>
  </si>
  <si>
    <t xml:space="preserve">WTE operating </t>
  </si>
  <si>
    <t>Slide below from presentation from Metro Van to ZW coalition Aug 27, 2025</t>
  </si>
  <si>
    <t>note if goes above 750K, change fomula to send waste externally</t>
  </si>
  <si>
    <t>Tonnes to Incinerator</t>
  </si>
  <si>
    <t>Includes $40M additional maintenance for incinerator but it is likely to be higher than that, especially if the requirements for testing and emissions are updated.</t>
  </si>
  <si>
    <t>Does not include AQ benefits from closing the incinerator</t>
  </si>
  <si>
    <t>Plus avoided risk of carbon tax on incineration updated regulation, pollution harms, breakdown and unforeseen maintenance plus subsequent penalties for energy disruption</t>
  </si>
  <si>
    <t>Plus benefits of ZW for resilience, community building, affordability, jobs</t>
  </si>
  <si>
    <t>Benefit of incentives being aligned (every tonne avoided is money savey as opposed to needing to feed the incinerator) when incinerator is closed</t>
  </si>
  <si>
    <t>Advise shift in how fees paid -some taxes and some tipping fees, also raising tipping fees as incentive over time</t>
  </si>
  <si>
    <t>Closing the  incinerator avoids the risks from unexpected service interruption, increasing maintenance costs for aging facility, need to meet increase regulatory standards, owning a stranded asset, litigation regarding pollution, inability to maintain energy provision, carbon priciing, increased natural gas costs, ability to handle drops in waste volumes, ability to source parts</t>
  </si>
  <si>
    <t>Does not include already incurred outstanding capital debts for WTE</t>
  </si>
  <si>
    <t>No time value for money included and costs spread evenly over years</t>
  </si>
  <si>
    <t>Does not include savings from saved LF airspace as those will benefit City of Vancouver but also the region  in general</t>
  </si>
  <si>
    <t>10 year total disposal costs</t>
  </si>
  <si>
    <t>Active zero waste without closure but need to feed incinerator</t>
  </si>
  <si>
    <t>Active zero waste without closure</t>
  </si>
  <si>
    <t>ZW + not close incinerator</t>
  </si>
  <si>
    <t>ZW + need to feed incinerator, using Metro Van per tonne numbers for costs</t>
  </si>
  <si>
    <t>ZW + need to feed incinerator, using Metro Van per budget numbers for costs</t>
  </si>
  <si>
    <t>GHG benefits (see case study for directional info) -note transportation is a very small component of waste disposal</t>
  </si>
  <si>
    <t>Oct 9, 2025 ZWC</t>
  </si>
  <si>
    <t>costs</t>
  </si>
  <si>
    <t>tonnes</t>
  </si>
  <si>
    <t>Ten year totals</t>
  </si>
  <si>
    <t>Tonnes to Van LF from City of Van</t>
  </si>
  <si>
    <t>% change from 2010 to 2024</t>
  </si>
  <si>
    <t>inc in line 6</t>
  </si>
  <si>
    <t>% split between CoV and MV</t>
  </si>
  <si>
    <t>check</t>
  </si>
  <si>
    <t>total Van LF if not exported</t>
  </si>
  <si>
    <t>fixed</t>
  </si>
  <si>
    <t>assumes waste from CoV goes down like the rest</t>
  </si>
  <si>
    <t>many assumptions as no other reported numbers</t>
  </si>
  <si>
    <t>threshold for not needing external is 1,190,000</t>
  </si>
  <si>
    <t>threshold for not needing external is 940,000</t>
  </si>
  <si>
    <t>noe extended life of VLF</t>
  </si>
  <si>
    <t>note cost per tonne adjusted assumign the number of tonnest to VLF from MV in Oct 29 email is just MV waste</t>
  </si>
  <si>
    <t>Calculated for all landfill costs (external and VLF) so landfill costs plus contribution to closure in budget ($5M) divided by total waste to Van LF and external LF) but in this version inly includeing just over 500,000 t to VLF from MV as opposed to 750,000</t>
  </si>
  <si>
    <t>note this assumes a high external disposal cost where if this volume of waste was to be disposed, rates would likely be significantly less</t>
  </si>
  <si>
    <t>degree of savings closely relasted to capital costs</t>
  </si>
  <si>
    <t>likely would be higher for improved emissions standards, did not include DE nor biosolids capital costs, nor interest</t>
  </si>
  <si>
    <t>To achieve ZW, will need to invest some of the intended savings into staff, programs and partnerships to achieve this -cell H 138</t>
  </si>
  <si>
    <t>Does include contribution to reserve for VLF closure (used financial plan numbers but could review page 74 of https://metrovancouver.org/boards/Finance/FIN_2023-APR-13_AGE.pdf) for 2022 costs</t>
  </si>
  <si>
    <t>ZW noted is pretty modest as savings reached with 5% less waste per year and already had achieved 2.29% less each year despite very limited action and investment from Metro Van. At 5% reduction, still double the per capita target of RDN of 0.109 t/yr by 2027 or CRD of 0.125t/yr</t>
  </si>
  <si>
    <t>Metro Van had spent at most $5M per year on ZW (not including recyclign aspects which are cost neutral per MV) and so an additional $10 M per year should be able to achieve the target</t>
  </si>
  <si>
    <t>Frees up incinerator land for a central C&amp;D hub</t>
  </si>
  <si>
    <t>Added 2% per year to LF costs and 5% to incinerator as average for 2010-2027 budgets for incinerator was a 5.6% increase each year whereas all LF was 2.1%</t>
  </si>
  <si>
    <t>Note was -2.29% annually over 12 yrs (2010-2024)</t>
  </si>
  <si>
    <t>total costs inc ZW</t>
  </si>
  <si>
    <t>Closing the incinerator saves money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</si>
</sst>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* #,##0.000_);_(* \(#,##0.000\);_(* &quot;-&quot;??_);_(@_)"/>
    <numFmt numFmtId="166" formatCode="_(&quot;$&quot;* #,##0_);_(&quot;$&quot;* \(#,##0\);_(&quot;$&quot;* &quot;-&quot;??_);_(@_)"/>
  </numFmts>
  <fonts count="7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0"/>
      <color rgb="FF000000"/>
      <name val="Tahoma"/>
      <family val="2"/>
    </font>
  </fonts>
  <fills count="17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rgb="FF000000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79998168889431442"/>
        <bgColor rgb="FF000000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39997558519241921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4">
    <xf numFmtId="0" fontId="0" fillId="0" borderId="0" xfId="0"/>
    <xf numFmtId="0" fontId="3" fillId="0" borderId="0" xfId="0" applyFont="1"/>
    <xf numFmtId="0" fontId="0" fillId="2" borderId="0" xfId="0" applyFill="1"/>
    <xf numFmtId="0" fontId="0" fillId="3" borderId="0" xfId="0" applyFill="1"/>
    <xf numFmtId="164" fontId="0" fillId="0" borderId="0" xfId="1" applyNumberFormat="1" applyFont="1"/>
    <xf numFmtId="10" fontId="0" fillId="0" borderId="0" xfId="0" applyNumberFormat="1"/>
    <xf numFmtId="165" fontId="0" fillId="0" borderId="0" xfId="0" applyNumberFormat="1"/>
    <xf numFmtId="9" fontId="0" fillId="0" borderId="0" xfId="3" applyFont="1"/>
    <xf numFmtId="10" fontId="0" fillId="0" borderId="0" xfId="3" applyNumberFormat="1" applyFont="1"/>
    <xf numFmtId="43" fontId="0" fillId="0" borderId="0" xfId="0" applyNumberFormat="1"/>
    <xf numFmtId="0" fontId="0" fillId="4" borderId="0" xfId="0" applyFill="1"/>
    <xf numFmtId="3" fontId="0" fillId="0" borderId="0" xfId="0" applyNumberFormat="1"/>
    <xf numFmtId="0" fontId="0" fillId="5" borderId="0" xfId="0" applyFill="1"/>
    <xf numFmtId="164" fontId="0" fillId="0" borderId="0" xfId="0" applyNumberFormat="1"/>
    <xf numFmtId="0" fontId="0" fillId="7" borderId="0" xfId="0" applyFill="1"/>
    <xf numFmtId="0" fontId="2" fillId="0" borderId="0" xfId="0" applyFont="1"/>
    <xf numFmtId="0" fontId="2" fillId="0" borderId="1" xfId="0" applyFont="1" applyBorder="1"/>
    <xf numFmtId="165" fontId="0" fillId="0" borderId="1" xfId="0" applyNumberFormat="1" applyBorder="1"/>
    <xf numFmtId="9" fontId="0" fillId="0" borderId="1" xfId="3" applyFont="1" applyBorder="1"/>
    <xf numFmtId="10" fontId="0" fillId="0" borderId="1" xfId="3" applyNumberFormat="1" applyFont="1" applyBorder="1"/>
    <xf numFmtId="43" fontId="0" fillId="0" borderId="1" xfId="0" applyNumberFormat="1" applyBorder="1"/>
    <xf numFmtId="0" fontId="0" fillId="0" borderId="1" xfId="0" applyBorder="1"/>
    <xf numFmtId="0" fontId="4" fillId="0" borderId="0" xfId="0" applyFont="1"/>
    <xf numFmtId="0" fontId="5" fillId="0" borderId="0" xfId="0" applyFont="1"/>
    <xf numFmtId="166" fontId="5" fillId="0" borderId="0" xfId="0" applyNumberFormat="1" applyFont="1"/>
    <xf numFmtId="166" fontId="0" fillId="0" borderId="0" xfId="0" applyNumberFormat="1"/>
    <xf numFmtId="166" fontId="4" fillId="0" borderId="0" xfId="0" applyNumberFormat="1" applyFont="1"/>
    <xf numFmtId="166" fontId="5" fillId="0" borderId="0" xfId="2" applyNumberFormat="1" applyFont="1"/>
    <xf numFmtId="166" fontId="2" fillId="0" borderId="0" xfId="0" applyNumberFormat="1" applyFont="1"/>
    <xf numFmtId="166" fontId="0" fillId="0" borderId="0" xfId="2" applyNumberFormat="1" applyFont="1"/>
    <xf numFmtId="166" fontId="5" fillId="8" borderId="0" xfId="0" applyNumberFormat="1" applyFont="1" applyFill="1"/>
    <xf numFmtId="0" fontId="5" fillId="9" borderId="0" xfId="0" applyFont="1" applyFill="1"/>
    <xf numFmtId="0" fontId="0" fillId="10" borderId="0" xfId="0" applyFill="1"/>
    <xf numFmtId="166" fontId="5" fillId="8" borderId="0" xfId="2" applyNumberFormat="1" applyFont="1" applyFill="1"/>
    <xf numFmtId="0" fontId="4" fillId="11" borderId="0" xfId="0" applyFont="1" applyFill="1"/>
    <xf numFmtId="10" fontId="0" fillId="12" borderId="0" xfId="3" applyNumberFormat="1" applyFont="1" applyFill="1"/>
    <xf numFmtId="0" fontId="0" fillId="0" borderId="0" xfId="0" applyAlignment="1">
      <alignment wrapText="1"/>
    </xf>
    <xf numFmtId="44" fontId="0" fillId="0" borderId="0" xfId="2" applyFont="1"/>
    <xf numFmtId="164" fontId="5" fillId="0" borderId="0" xfId="0" applyNumberFormat="1" applyFont="1"/>
    <xf numFmtId="166" fontId="0" fillId="0" borderId="0" xfId="2" applyNumberFormat="1" applyFont="1" applyFill="1"/>
    <xf numFmtId="166" fontId="0" fillId="3" borderId="0" xfId="0" applyNumberFormat="1" applyFill="1"/>
    <xf numFmtId="0" fontId="0" fillId="0" borderId="2" xfId="0" applyBorder="1"/>
    <xf numFmtId="0" fontId="0" fillId="0" borderId="3" xfId="0" applyBorder="1"/>
    <xf numFmtId="9" fontId="0" fillId="8" borderId="3" xfId="3" applyFont="1" applyFill="1" applyBorder="1"/>
    <xf numFmtId="0" fontId="2" fillId="0" borderId="0" xfId="0" applyFont="1" applyAlignment="1">
      <alignment wrapText="1"/>
    </xf>
    <xf numFmtId="0" fontId="2" fillId="3" borderId="0" xfId="0" applyFont="1" applyFill="1"/>
    <xf numFmtId="3" fontId="0" fillId="0" borderId="2" xfId="0" applyNumberFormat="1" applyBorder="1"/>
    <xf numFmtId="166" fontId="0" fillId="8" borderId="0" xfId="0" applyNumberFormat="1" applyFill="1"/>
    <xf numFmtId="44" fontId="0" fillId="0" borderId="0" xfId="0" applyNumberFormat="1"/>
    <xf numFmtId="164" fontId="0" fillId="0" borderId="0" xfId="1" applyNumberFormat="1" applyFont="1" applyFill="1"/>
    <xf numFmtId="9" fontId="0" fillId="0" borderId="0" xfId="3" applyFont="1" applyFill="1"/>
    <xf numFmtId="10" fontId="0" fillId="0" borderId="0" xfId="3" applyNumberFormat="1" applyFont="1" applyFill="1"/>
    <xf numFmtId="9" fontId="0" fillId="6" borderId="0" xfId="3" applyFont="1" applyFill="1"/>
    <xf numFmtId="9" fontId="0" fillId="0" borderId="1" xfId="3" applyFont="1" applyBorder="1" applyAlignment="1">
      <alignment wrapText="1"/>
    </xf>
    <xf numFmtId="3" fontId="0" fillId="13" borderId="0" xfId="0" applyNumberFormat="1" applyFill="1"/>
    <xf numFmtId="0" fontId="0" fillId="14" borderId="0" xfId="0" applyFill="1"/>
    <xf numFmtId="164" fontId="0" fillId="0" borderId="2" xfId="1" applyNumberFormat="1" applyFont="1" applyBorder="1"/>
    <xf numFmtId="3" fontId="0" fillId="15" borderId="0" xfId="0" applyNumberFormat="1" applyFill="1"/>
    <xf numFmtId="164" fontId="0" fillId="15" borderId="0" xfId="0" applyNumberFormat="1" applyFill="1"/>
    <xf numFmtId="0" fontId="0" fillId="10" borderId="0" xfId="0" applyFill="1" applyAlignment="1">
      <alignment wrapText="1"/>
    </xf>
    <xf numFmtId="44" fontId="5" fillId="0" borderId="0" xfId="0" applyNumberFormat="1" applyFont="1"/>
    <xf numFmtId="166" fontId="0" fillId="6" borderId="0" xfId="0" applyNumberFormat="1" applyFill="1"/>
    <xf numFmtId="166" fontId="0" fillId="12" borderId="0" xfId="0" applyNumberFormat="1" applyFill="1"/>
    <xf numFmtId="166" fontId="0" fillId="16" borderId="0" xfId="0" applyNumberFormat="1" applyFill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469900</xdr:colOff>
      <xdr:row>21</xdr:row>
      <xdr:rowOff>25400</xdr:rowOff>
    </xdr:from>
    <xdr:to>
      <xdr:col>7</xdr:col>
      <xdr:colOff>1028700</xdr:colOff>
      <xdr:row>50</xdr:row>
      <xdr:rowOff>126418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D133281-0D9A-91E0-1AEE-F0AF3CE3F8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9900" y="6921500"/>
          <a:ext cx="7772400" cy="5993818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Sue Maxwell" id="{52703BC0-3719-0C49-8300-64D33AC31EF8}" userId="Sue Maxwell" providerId="None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E2" dT="2025-11-14T01:16:42.35" personId="{52703BC0-3719-0C49-8300-64D33AC31EF8}" id="{0B2E021C-F37F-9B4D-8A64-9A0E5BA9E092}">
    <text>data from Oct 24, 2025 email from P Henderson</text>
  </threadedComment>
  <threadedComment ref="E6" dT="2025-11-14T01:26:02.62" personId="{52703BC0-3719-0C49-8300-64D33AC31EF8}" id="{90C0A3AF-28B3-584F-BC6E-B7AEE2051341}">
    <text>separated out CoV waste -assumed as email stated far lower number</text>
  </threadedComment>
  <threadedComment ref="F6" dT="2025-11-14T01:43:03.22" personId="{52703BC0-3719-0C49-8300-64D33AC31EF8}" id="{6D1052E3-7633-2B4B-95DE-3784BD600D94}">
    <text>using 2022 data as do not have other piece of CoV waste</text>
  </threadedComment>
  <threadedComment ref="E9" dT="2025-11-14T01:25:31.88" personId="{52703BC0-3719-0C49-8300-64D33AC31EF8}" id="{C1983151-6225-684D-B42D-772A7D9C6E63}">
    <text>used difference in 2022 to allocate</text>
  </threadedComment>
  <threadedComment ref="F9" dT="2025-11-14T01:43:03.22" personId="{52703BC0-3719-0C49-8300-64D33AC31EF8}" id="{649DE87E-3574-E841-9068-90B61F40332C}">
    <text>using 2022 data as do not have other piece of CoV waste</text>
  </threadedComment>
  <threadedComment ref="E10" dT="2025-11-14T01:24:16.67" personId="{52703BC0-3719-0C49-8300-64D33AC31EF8}" id="{27904B05-292E-C54F-9C97-D47C18EF8B2C}">
    <text>used 2022 numbers as not reported</text>
  </threadedComment>
  <threadedComment ref="F10" dT="2025-11-14T01:52:51.99" personId="{52703BC0-3719-0C49-8300-64D33AC31EF8}" id="{5B7ED4F5-40A8-E74E-8DAF-A36E7A2D217E}">
    <text>using 2022 data as no new data</text>
  </threadedComment>
  <threadedComment ref="H24" dT="2025-09-29T23:47:33.74" personId="{52703BC0-3719-0C49-8300-64D33AC31EF8}" id="{05986617-7AE7-8B43-9D43-56BF9FFC1F58}">
    <text>adjust in cell F 109</text>
  </threadedComment>
  <threadedComment ref="H35" dT="2025-09-29T23:47:33.74" personId="{52703BC0-3719-0C49-8300-64D33AC31EF8}" id="{1251BC69-040E-7C4D-987C-0687AEC9791D}">
    <text>adjust in cell F 109</text>
  </threadedComment>
  <threadedComment ref="H47" dT="2025-09-26T22:23:34.10" personId="{52703BC0-3719-0C49-8300-64D33AC31EF8}" id="{0A82E18C-8D56-B24D-B85D-EAA922E6E28E}">
    <text>Data from P. Henderson for Aug 27, 2025 meeting</text>
  </threadedComment>
  <threadedComment ref="H47" dT="2025-09-26T22:34:22.78" personId="{52703BC0-3719-0C49-8300-64D33AC31EF8}" id="{243F175E-46BF-9C4C-A08E-3907FBDC60E7}" parentId="{0A82E18C-8D56-B24D-B85D-EAA922E6E28E}">
    <text>Also Sept 2025 ZWC WTE financials</text>
  </threadedComment>
  <threadedComment ref="H47" dT="2025-09-30T00:56:45.43" personId="{52703BC0-3719-0C49-8300-64D33AC31EF8}" id="{06041CD9-56E6-584C-AD8A-4CEBA1FE668C}" parentId="{0A82E18C-8D56-B24D-B85D-EAA922E6E28E}">
    <text>see next tab for details</text>
  </threadedComment>
  <threadedComment ref="F53" dT="2025-09-26T21:44:59.44" personId="{52703BC0-3719-0C49-8300-64D33AC31EF8}" id="{502B4386-265F-2544-9CB5-3C01F3B0BC86}">
    <text>$100M acid gas, $80 M maintenance known, $40 M maintenance future, did not include DE nor biosolids, spread over 20 years, no interest</text>
  </threadedComment>
  <threadedComment ref="H57" dT="2025-09-26T21:56:59.18" personId="{52703BC0-3719-0C49-8300-64D33AC31EF8}" id="{A92B59E9-BC1E-4F4F-9E6E-25AD9AD912A4}">
    <text>an overestimate as includes external landfill costs as well</text>
  </threadedComment>
  <threadedComment ref="H57" dT="2025-09-26T22:00:37.25" personId="{52703BC0-3719-0C49-8300-64D33AC31EF8}" id="{1C57D7A0-F9B3-894B-8431-8D736D08C35A}" parentId="{A92B59E9-BC1E-4F4F-9E6E-25AD9AD912A4}">
    <text>calculated but total LF op costs /amount of waste inc reserve for closure</text>
  </threadedComment>
  <threadedComment ref="H59" dT="2025-09-26T21:54:08.86" personId="{52703BC0-3719-0C49-8300-64D33AC31EF8}" id="{9DC17B42-CC05-9544-9C91-17C464363B60}">
    <text>RMOW quote $103 in 2020 times 7 years of 2% increase</text>
  </threadedComment>
  <threadedComment ref="F62" dT="2025-09-26T21:44:59.44" personId="{52703BC0-3719-0C49-8300-64D33AC31EF8}" id="{3AD0CBC4-9BD8-A844-AAA4-E620E1060E21}">
    <text>$100M acid gas, $80 M maintenance known, $40 M maintenance future, did not include DE nor biosolids, spread over 20 years, no interest</text>
  </threadedComment>
  <threadedComment ref="H78" dT="2025-09-26T21:56:59.18" personId="{52703BC0-3719-0C49-8300-64D33AC31EF8}" id="{6458B7D0-AF9F-F44B-A6BA-E851746A5C52}">
    <text>an overestimate as includes eternal landfill costs as well</text>
  </threadedComment>
  <threadedComment ref="H78" dT="2025-09-26T22:00:37.25" personId="{52703BC0-3719-0C49-8300-64D33AC31EF8}" id="{074DEFC1-B7AF-E544-AFD9-26F45FE250B7}" parentId="{6458B7D0-AF9F-F44B-A6BA-E851746A5C52}">
    <text>calculated but total LF op costs /amount of waste inc reserve for closure</text>
  </threadedComment>
  <threadedComment ref="H80" dT="2025-09-26T21:54:08.86" personId="{52703BC0-3719-0C49-8300-64D33AC31EF8}" id="{9F87A64A-8F9F-8B41-B53D-BAFED2BEB97A}">
    <text>RMOW quote $103 in 2020 times 7 years of 2% increase</text>
  </threadedComment>
  <threadedComment ref="H99" dT="2025-09-26T21:56:59.18" personId="{52703BC0-3719-0C49-8300-64D33AC31EF8}" id="{59607398-B9DC-584E-BF18-6BADCBEC2DAD}">
    <text>an overestimate as includes eternal landfill costs as well</text>
  </threadedComment>
  <threadedComment ref="H99" dT="2025-09-26T22:00:37.25" personId="{52703BC0-3719-0C49-8300-64D33AC31EF8}" id="{AA5DD78C-A194-9448-935F-048AD27C6297}" parentId="{59607398-B9DC-584E-BF18-6BADCBEC2DAD}">
    <text>calculated but total LF op costs /amount of waste inc reserve for closure</text>
  </threadedComment>
  <threadedComment ref="H101" dT="2025-09-26T21:54:08.86" personId="{52703BC0-3719-0C49-8300-64D33AC31EF8}" id="{CCB54A30-3413-7845-90F4-3FA8BC3ADC46}">
    <text>RMOW quote $103 in 2020 times 7 years of 2% increase</text>
  </threadedComment>
  <threadedComment ref="H120" dT="2025-09-26T21:56:59.18" personId="{52703BC0-3719-0C49-8300-64D33AC31EF8}" id="{45275D03-5C99-A14C-8173-517ACC2C1022}">
    <text>an overestimate as includes eternal landfill costs as well</text>
  </threadedComment>
  <threadedComment ref="H120" dT="2025-09-26T22:00:37.25" personId="{52703BC0-3719-0C49-8300-64D33AC31EF8}" id="{38C9EB99-7387-434E-80FA-3134710E383F}" parentId="{45275D03-5C99-A14C-8173-517ACC2C1022}">
    <text>calculated but total LF op costs /amount of waste inc reserve for closure</text>
  </threadedComment>
  <threadedComment ref="H122" dT="2025-09-26T21:54:08.86" personId="{52703BC0-3719-0C49-8300-64D33AC31EF8}" id="{115C98A1-3F26-634B-A012-023FFE43A4A2}">
    <text>RMOW quote $103 in 2020 times 7 years of 2% increase</text>
  </threadedComment>
  <threadedComment ref="H138" dT="2025-09-26T23:07:47.86" personId="{52703BC0-3719-0C49-8300-64D33AC31EF8}" id="{03C00B67-ADE5-DB4F-8F49-2A0A9F6B81AB}">
    <text>$10M per year on ZW initiatives</text>
  </threadedComment>
  <threadedComment ref="H139" dT="2025-09-26T23:07:47.86" personId="{52703BC0-3719-0C49-8300-64D33AC31EF8}" id="{6C60A326-32AE-834E-BE94-7BFB6ED84655}">
    <text>$10M per year on ZW initiatives</text>
  </threadedComment>
  <threadedComment ref="H144" dT="2025-09-26T23:07:47.86" personId="{52703BC0-3719-0C49-8300-64D33AC31EF8}" id="{E4C6F89C-0569-EB41-83B4-0768ED05DE26}">
    <text>$10M per year on ZW initiatives</text>
  </threadedComment>
  <threadedComment ref="H145" dT="2025-09-26T23:07:47.86" personId="{52703BC0-3719-0C49-8300-64D33AC31EF8}" id="{E881FCE9-4937-9845-8192-E619A3EA8F02}">
    <text>$10M per year on ZW initiatives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E2" dT="2025-11-14T01:16:42.35" personId="{52703BC0-3719-0C49-8300-64D33AC31EF8}" id="{3F870754-D29C-C943-8612-1A4AE7883773}">
    <text>data from Oct 24, 2025 email from P Henderson</text>
  </threadedComment>
  <threadedComment ref="E6" dT="2025-11-14T01:26:02.62" personId="{52703BC0-3719-0C49-8300-64D33AC31EF8}" id="{68E23671-9604-8840-B160-CA7C5BE43CCD}">
    <text>separated out CoV waste -assumed as email stated far lower number</text>
  </threadedComment>
  <threadedComment ref="F6" dT="2025-11-14T01:43:03.22" personId="{52703BC0-3719-0C49-8300-64D33AC31EF8}" id="{4450CDF1-19DE-9048-A575-A4C8AAA8AE66}">
    <text>using 2022 data as do not have other piece of CoV waste</text>
  </threadedComment>
  <threadedComment ref="E9" dT="2025-11-14T01:25:31.88" personId="{52703BC0-3719-0C49-8300-64D33AC31EF8}" id="{931C5BC0-75EB-7E43-896A-6EEDC969A2F5}">
    <text>used difference in 2022 to allocate</text>
  </threadedComment>
  <threadedComment ref="F9" dT="2025-11-14T01:43:03.22" personId="{52703BC0-3719-0C49-8300-64D33AC31EF8}" id="{E469B611-331B-AF4E-BDF1-1B27A45ABD2F}">
    <text>using 2022 data as do not have other piece of CoV waste</text>
  </threadedComment>
  <threadedComment ref="E10" dT="2025-11-14T01:24:16.67" personId="{52703BC0-3719-0C49-8300-64D33AC31EF8}" id="{9CD6A7FC-194A-434E-8AC7-9F7F6C5DE420}">
    <text>used 2022 numbers as not reported</text>
  </threadedComment>
  <threadedComment ref="F10" dT="2025-11-14T01:52:51.99" personId="{52703BC0-3719-0C49-8300-64D33AC31EF8}" id="{C325F4A6-92FB-A644-95CF-980BBC6A4080}">
    <text>using 2022 data as no new data</text>
  </threadedComment>
  <threadedComment ref="H24" dT="2025-09-29T23:47:33.74" personId="{52703BC0-3719-0C49-8300-64D33AC31EF8}" id="{35113FBB-F7BB-D84A-AB05-916EAFDB658C}">
    <text>adjust in cell F 109</text>
  </threadedComment>
  <threadedComment ref="H35" dT="2025-09-29T23:47:33.74" personId="{52703BC0-3719-0C49-8300-64D33AC31EF8}" id="{158F0FDA-63D8-0841-9AF8-1161287263DA}">
    <text>adjust in cell F 109</text>
  </threadedComment>
  <threadedComment ref="H47" dT="2025-09-26T22:23:34.10" personId="{52703BC0-3719-0C49-8300-64D33AC31EF8}" id="{F157A010-51E2-C64D-B61A-A5F674D576BB}">
    <text>Data from P. Henderson for Aug 27, 2025 meeting</text>
  </threadedComment>
  <threadedComment ref="H47" dT="2025-09-26T22:34:22.78" personId="{52703BC0-3719-0C49-8300-64D33AC31EF8}" id="{39FEA0B1-90FA-5646-BCFD-A2BA1DECE942}" parentId="{F157A010-51E2-C64D-B61A-A5F674D576BB}">
    <text>Also Sept 2025 ZWC WTE financials</text>
  </threadedComment>
  <threadedComment ref="H47" dT="2025-09-30T00:56:45.43" personId="{52703BC0-3719-0C49-8300-64D33AC31EF8}" id="{BF213EFB-9F9D-F44D-BCD6-5F322CE0B84A}" parentId="{F157A010-51E2-C64D-B61A-A5F674D576BB}">
    <text>see next tab for details</text>
  </threadedComment>
  <threadedComment ref="F53" dT="2025-09-26T21:44:59.44" personId="{52703BC0-3719-0C49-8300-64D33AC31EF8}" id="{5AD58F8F-4D7A-D246-8616-06791884E544}">
    <text>$100M acid gas, $80 M maintenance known, $40 M maintenance future, did not include DE nor biosolids, spread over 20 years, no interest</text>
  </threadedComment>
  <threadedComment ref="H57" dT="2025-09-26T21:56:59.18" personId="{52703BC0-3719-0C49-8300-64D33AC31EF8}" id="{D99602F1-6340-FF44-BE9D-3DA2B4246484}">
    <text>an overestimate as includes external landfill costs as well</text>
  </threadedComment>
  <threadedComment ref="H57" dT="2025-09-26T22:00:37.25" personId="{52703BC0-3719-0C49-8300-64D33AC31EF8}" id="{0EFF4180-7F20-5A4E-859B-4E3B891D5221}" parentId="{D99602F1-6340-FF44-BE9D-3DA2B4246484}">
    <text>calculated but total LF op costs /amount of waste inc reserve for closure</text>
  </threadedComment>
  <threadedComment ref="H59" dT="2025-09-26T21:54:08.86" personId="{52703BC0-3719-0C49-8300-64D33AC31EF8}" id="{245D5A9D-BD6F-BB42-A875-E00350691403}">
    <text>RMOW quote $103 in 2020 times 7 years of 2% increase</text>
  </threadedComment>
  <threadedComment ref="F62" dT="2025-09-26T21:44:59.44" personId="{52703BC0-3719-0C49-8300-64D33AC31EF8}" id="{FC33ADF5-F7E9-1F4E-A733-58BA4669CA2F}">
    <text>$100M acid gas, $80 M maintenance known, $40 M maintenance future, did not include DE nor biosolids, spread over 20 years, no interest</text>
  </threadedComment>
  <threadedComment ref="H78" dT="2025-09-26T21:56:59.18" personId="{52703BC0-3719-0C49-8300-64D33AC31EF8}" id="{4F5863FE-58B4-5E47-8826-16B2D299BAA1}">
    <text>an overestimate as includes eternal landfill costs as well</text>
  </threadedComment>
  <threadedComment ref="H78" dT="2025-09-26T22:00:37.25" personId="{52703BC0-3719-0C49-8300-64D33AC31EF8}" id="{E06F23F5-C3DC-C54A-9789-CA051528D56F}" parentId="{4F5863FE-58B4-5E47-8826-16B2D299BAA1}">
    <text>calculated but total LF op costs /amount of waste inc reserve for closure</text>
  </threadedComment>
  <threadedComment ref="H80" dT="2025-09-26T21:54:08.86" personId="{52703BC0-3719-0C49-8300-64D33AC31EF8}" id="{6A1EBBA3-CC60-3548-8DDD-FFA8C17B75C5}">
    <text>RMOW quote $103 in 2020 times 7 years of 2% increase</text>
  </threadedComment>
  <threadedComment ref="H99" dT="2025-09-26T21:56:59.18" personId="{52703BC0-3719-0C49-8300-64D33AC31EF8}" id="{A59DA958-A553-CE40-9FAB-44134468E706}">
    <text>an overestimate as includes eternal landfill costs as well</text>
  </threadedComment>
  <threadedComment ref="H99" dT="2025-09-26T22:00:37.25" personId="{52703BC0-3719-0C49-8300-64D33AC31EF8}" id="{B92DC499-DB93-AE4B-9E71-E15E38F2DCBB}" parentId="{A59DA958-A553-CE40-9FAB-44134468E706}">
    <text>calculated but total LF op costs /amount of waste inc reserve for closure</text>
  </threadedComment>
  <threadedComment ref="H101" dT="2025-09-26T21:54:08.86" personId="{52703BC0-3719-0C49-8300-64D33AC31EF8}" id="{06DEDEB1-C6A6-2A47-A21A-CE3CB03BF304}">
    <text>RMOW quote $103 in 2020 times 7 years of 2% increase</text>
  </threadedComment>
  <threadedComment ref="H120" dT="2025-09-26T21:56:59.18" personId="{52703BC0-3719-0C49-8300-64D33AC31EF8}" id="{86453EA7-D170-894D-8419-92CEA64B0AA8}">
    <text>an overestimate as includes eternal landfill costs as well</text>
  </threadedComment>
  <threadedComment ref="H120" dT="2025-09-26T22:00:37.25" personId="{52703BC0-3719-0C49-8300-64D33AC31EF8}" id="{0CCD309B-FA26-A747-90EA-F8A9B7015824}" parentId="{86453EA7-D170-894D-8419-92CEA64B0AA8}">
    <text>calculated but total LF op costs /amount of waste inc reserve for closure</text>
  </threadedComment>
  <threadedComment ref="H122" dT="2025-09-26T21:54:08.86" personId="{52703BC0-3719-0C49-8300-64D33AC31EF8}" id="{75C08E9B-8CDC-3845-984A-0E9F7C90C5E5}">
    <text>RMOW quote $103 in 2020 times 7 years of 2% increase</text>
  </threadedComment>
  <threadedComment ref="H138" dT="2025-09-26T23:07:47.86" personId="{52703BC0-3719-0C49-8300-64D33AC31EF8}" id="{0CE4E66A-A524-5649-AF4E-BD5BB6225FEF}">
    <text>$10M per year on ZW initiatives</text>
  </threadedComment>
  <threadedComment ref="H139" dT="2025-09-26T23:07:47.86" personId="{52703BC0-3719-0C49-8300-64D33AC31EF8}" id="{32DCD441-B290-F246-A68E-AD147AC63C68}">
    <text>$10M per year on ZW initiatives</text>
  </threadedComment>
  <threadedComment ref="H144" dT="2025-09-26T23:07:47.86" personId="{52703BC0-3719-0C49-8300-64D33AC31EF8}" id="{EFE9E38B-B59D-0E4B-A117-2C7E8BD99E61}">
    <text>$10M per year on ZW initiatives</text>
  </threadedComment>
  <threadedComment ref="H145" dT="2025-09-26T23:07:47.86" personId="{52703BC0-3719-0C49-8300-64D33AC31EF8}" id="{BA253659-3BF8-4549-A0AE-8103EFEB9CCB}">
    <text>$10M per year on ZW initiatives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E2" dT="2025-11-14T01:16:42.35" personId="{52703BC0-3719-0C49-8300-64D33AC31EF8}" id="{A50E6FB0-8F44-9B4F-BEF2-DBCA71C2F476}">
    <text>data from Oct 24, 2025 email from P Henderson</text>
  </threadedComment>
  <threadedComment ref="E6" dT="2025-11-14T01:26:02.62" personId="{52703BC0-3719-0C49-8300-64D33AC31EF8}" id="{A98A5846-17A5-9945-B80E-75B8085E5926}">
    <text>separated out CoV waste -assumed as email stated far lower number</text>
  </threadedComment>
  <threadedComment ref="F6" dT="2025-11-14T01:43:03.22" personId="{52703BC0-3719-0C49-8300-64D33AC31EF8}" id="{34DCE707-C614-164F-AFE9-9A65612B5C8B}">
    <text>using 2022 data as do not have other piece of CoV waste</text>
  </threadedComment>
  <threadedComment ref="E9" dT="2025-11-14T01:25:31.88" personId="{52703BC0-3719-0C49-8300-64D33AC31EF8}" id="{16A6DE2C-6BA8-864D-B903-178BE67D3540}">
    <text>used difference in 2022 to allocate</text>
  </threadedComment>
  <threadedComment ref="F9" dT="2025-11-14T01:43:03.22" personId="{52703BC0-3719-0C49-8300-64D33AC31EF8}" id="{29A98ABC-A6DD-B945-BEDF-04E14151F4D4}">
    <text>using 2022 data as do not have other piece of CoV waste</text>
  </threadedComment>
  <threadedComment ref="E10" dT="2025-11-14T01:24:16.67" personId="{52703BC0-3719-0C49-8300-64D33AC31EF8}" id="{2AF65E53-12FD-774F-8AAF-277C170536EA}">
    <text>used 2022 numbers as not reported</text>
  </threadedComment>
  <threadedComment ref="F10" dT="2025-11-14T01:52:51.99" personId="{52703BC0-3719-0C49-8300-64D33AC31EF8}" id="{C609A15D-2E77-714D-A1EE-D693FBB658D3}">
    <text>using 2022 data as no new data</text>
  </threadedComment>
  <threadedComment ref="H24" dT="2025-09-29T23:47:33.74" personId="{52703BC0-3719-0C49-8300-64D33AC31EF8}" id="{4BBBBF40-62BC-4D40-95AF-6D1F9D91802A}">
    <text>adjust in cell F 109</text>
  </threadedComment>
  <threadedComment ref="H35" dT="2025-09-29T23:47:33.74" personId="{52703BC0-3719-0C49-8300-64D33AC31EF8}" id="{A1641925-B46C-514D-B346-F3F3BE50CE33}">
    <text>adjust in cell F 109</text>
  </threadedComment>
  <threadedComment ref="H47" dT="2025-09-26T22:23:34.10" personId="{52703BC0-3719-0C49-8300-64D33AC31EF8}" id="{3937E7F6-2085-BC48-9433-39106E5E4D45}">
    <text>Data from P. Henderson for Aug 27, 2025 meeting</text>
  </threadedComment>
  <threadedComment ref="H47" dT="2025-09-26T22:34:22.78" personId="{52703BC0-3719-0C49-8300-64D33AC31EF8}" id="{4F0DB960-0AB2-C44C-905D-5C6F3AA34953}" parentId="{3937E7F6-2085-BC48-9433-39106E5E4D45}">
    <text>Also Sept 2025 ZWC WTE financials</text>
  </threadedComment>
  <threadedComment ref="H47" dT="2025-09-30T00:56:45.43" personId="{52703BC0-3719-0C49-8300-64D33AC31EF8}" id="{9911D458-0DB7-2C4F-BF0C-23E7B6436B79}" parentId="{3937E7F6-2085-BC48-9433-39106E5E4D45}">
    <text>see next tab for details</text>
  </threadedComment>
  <threadedComment ref="F53" dT="2025-09-26T21:44:59.44" personId="{52703BC0-3719-0C49-8300-64D33AC31EF8}" id="{CA7287BA-C36E-234A-9311-EB898CB4D290}">
    <text>$100M acid gas, $80 M maintenance known, $40 M maintenance future, did not include DE nor biosolids, spread over 20 years, no interest</text>
  </threadedComment>
  <threadedComment ref="H57" dT="2025-09-26T21:56:59.18" personId="{52703BC0-3719-0C49-8300-64D33AC31EF8}" id="{BCFBE7A1-55DF-2947-9D1E-34EE41EED2ED}">
    <text>an overestimate as includes external landfill costs as well</text>
  </threadedComment>
  <threadedComment ref="H57" dT="2025-09-26T22:00:37.25" personId="{52703BC0-3719-0C49-8300-64D33AC31EF8}" id="{E33DD486-F3D0-834E-9D35-79B2AF347411}" parentId="{BCFBE7A1-55DF-2947-9D1E-34EE41EED2ED}">
    <text>calculated but total LF op costs /amount of waste inc reserve for closure</text>
  </threadedComment>
  <threadedComment ref="H59" dT="2025-09-26T21:54:08.86" personId="{52703BC0-3719-0C49-8300-64D33AC31EF8}" id="{C7A6AC58-9511-954C-8F82-401D7303811A}">
    <text>RMOW quote $103 in 2020 times 7 years of 2% increase</text>
  </threadedComment>
  <threadedComment ref="F62" dT="2025-09-26T21:44:59.44" personId="{52703BC0-3719-0C49-8300-64D33AC31EF8}" id="{016CC28F-C2F2-9746-888E-F9396CB53FE5}">
    <text>$100M acid gas, $80 M maintenance known, $40 M maintenance future, did not include DE nor biosolids, spread over 20 years, no interest</text>
  </threadedComment>
  <threadedComment ref="H78" dT="2025-09-26T21:56:59.18" personId="{52703BC0-3719-0C49-8300-64D33AC31EF8}" id="{8134EC22-D864-8A42-A225-865B1D126018}">
    <text>an overestimate as includes eternal landfill costs as well</text>
  </threadedComment>
  <threadedComment ref="H78" dT="2025-09-26T22:00:37.25" personId="{52703BC0-3719-0C49-8300-64D33AC31EF8}" id="{98078628-6709-B545-940B-0323032F0D44}" parentId="{8134EC22-D864-8A42-A225-865B1D126018}">
    <text>calculated but total LF op costs /amount of waste inc reserve for closure</text>
  </threadedComment>
  <threadedComment ref="H80" dT="2025-09-26T21:54:08.86" personId="{52703BC0-3719-0C49-8300-64D33AC31EF8}" id="{6F126AC4-08DE-5F44-AB4F-E146E1BE250C}">
    <text>RMOW quote $103 in 2020 times 7 years of 2% increase</text>
  </threadedComment>
  <threadedComment ref="H99" dT="2025-09-26T21:56:59.18" personId="{52703BC0-3719-0C49-8300-64D33AC31EF8}" id="{69705FCC-739D-5C4C-87DF-2E4D0EBA6281}">
    <text>an overestimate as includes eternal landfill costs as well</text>
  </threadedComment>
  <threadedComment ref="H99" dT="2025-09-26T22:00:37.25" personId="{52703BC0-3719-0C49-8300-64D33AC31EF8}" id="{9BF8FAE5-260C-534A-9E0F-E9F4CDCADB95}" parentId="{69705FCC-739D-5C4C-87DF-2E4D0EBA6281}">
    <text>calculated but total LF op costs /amount of waste inc reserve for closure</text>
  </threadedComment>
  <threadedComment ref="H101" dT="2025-09-26T21:54:08.86" personId="{52703BC0-3719-0C49-8300-64D33AC31EF8}" id="{FA1B2950-1C24-924C-877A-F75AD44951B3}">
    <text>RMOW quote $103 in 2020 times 7 years of 2% increase</text>
  </threadedComment>
  <threadedComment ref="H120" dT="2025-09-26T21:56:59.18" personId="{52703BC0-3719-0C49-8300-64D33AC31EF8}" id="{9F0B4433-25E7-D842-B57D-ADBFCD4EDF0F}">
    <text>an overestimate as includes eternal landfill costs as well</text>
  </threadedComment>
  <threadedComment ref="H120" dT="2025-09-26T22:00:37.25" personId="{52703BC0-3719-0C49-8300-64D33AC31EF8}" id="{0E0E05B5-ECF1-C941-9ABE-BA1FFE525FF0}" parentId="{9F0B4433-25E7-D842-B57D-ADBFCD4EDF0F}">
    <text>calculated but total LF op costs /amount of waste inc reserve for closure</text>
  </threadedComment>
  <threadedComment ref="H122" dT="2025-09-26T21:54:08.86" personId="{52703BC0-3719-0C49-8300-64D33AC31EF8}" id="{ECAB854A-4066-E24E-9D6E-9B1FFB263914}">
    <text>RMOW quote $103 in 2020 times 7 years of 2% increase</text>
  </threadedComment>
  <threadedComment ref="H138" dT="2025-09-26T23:07:47.86" personId="{52703BC0-3719-0C49-8300-64D33AC31EF8}" id="{56896907-FD10-C641-B95B-F2E289475401}">
    <text>$10M per year on ZW initiatives</text>
  </threadedComment>
  <threadedComment ref="H139" dT="2025-09-26T23:07:47.86" personId="{52703BC0-3719-0C49-8300-64D33AC31EF8}" id="{30447416-1A21-6A4E-A87D-7085FE6DD98B}">
    <text>$10M per year on ZW initiatives</text>
  </threadedComment>
  <threadedComment ref="H144" dT="2025-09-26T23:07:47.86" personId="{52703BC0-3719-0C49-8300-64D33AC31EF8}" id="{50292791-2B1F-684F-BCB9-1B6133F19C0E}">
    <text>$10M per year on ZW initiatives</text>
  </threadedComment>
  <threadedComment ref="H145" dT="2025-09-26T23:07:47.86" personId="{52703BC0-3719-0C49-8300-64D33AC31EF8}" id="{608A6FA4-179C-5941-BB0F-2D3C720AAA78}">
    <text>$10M per year on ZW initiatives</text>
  </threadedComment>
</ThreadedComments>
</file>

<file path=xl/threadedComments/threadedComment4.xml><?xml version="1.0" encoding="utf-8"?>
<ThreadedComments xmlns="http://schemas.microsoft.com/office/spreadsheetml/2018/threadedcomments" xmlns:x="http://schemas.openxmlformats.org/spreadsheetml/2006/main">
  <threadedComment ref="E2" dT="2025-11-14T01:16:42.35" personId="{52703BC0-3719-0C49-8300-64D33AC31EF8}" id="{F9E73A9B-5756-F84A-BFF0-826759CC6DDF}">
    <text>data from Oct 24, 2025 email from P Henderson</text>
  </threadedComment>
  <threadedComment ref="E6" dT="2025-11-14T01:26:02.62" personId="{52703BC0-3719-0C49-8300-64D33AC31EF8}" id="{4D02760A-B6DF-A24D-BBF1-9B58C1248EBF}">
    <text>separated out CoV waste -assumed as email stated far lower number</text>
  </threadedComment>
  <threadedComment ref="F6" dT="2025-11-14T01:43:03.22" personId="{52703BC0-3719-0C49-8300-64D33AC31EF8}" id="{D08F40E4-DC7F-344F-909B-AAEA1B8DC49A}">
    <text>using 2022 data as do not have other piece of CoV waste</text>
  </threadedComment>
  <threadedComment ref="E9" dT="2025-11-14T01:25:31.88" personId="{52703BC0-3719-0C49-8300-64D33AC31EF8}" id="{19147F40-39C3-D446-9A58-5874E85CA321}">
    <text>used difference in 2022 to allocate</text>
  </threadedComment>
  <threadedComment ref="F9" dT="2025-11-14T01:43:03.22" personId="{52703BC0-3719-0C49-8300-64D33AC31EF8}" id="{CBD75B07-7C11-C347-921F-96F3366700E9}">
    <text>using 2022 data as do not have other piece of CoV waste</text>
  </threadedComment>
  <threadedComment ref="E10" dT="2025-11-14T01:24:16.67" personId="{52703BC0-3719-0C49-8300-64D33AC31EF8}" id="{770791D7-0288-E449-92A1-CA0B7CF22073}">
    <text>used 2022 numbers as not reported</text>
  </threadedComment>
  <threadedComment ref="F10" dT="2025-11-14T01:52:51.99" personId="{52703BC0-3719-0C49-8300-64D33AC31EF8}" id="{7ED5D75B-93CB-3449-AF30-FB7E4AE5D994}">
    <text>using 2022 data as no new data</text>
  </threadedComment>
  <threadedComment ref="H24" dT="2025-09-29T23:47:33.74" personId="{52703BC0-3719-0C49-8300-64D33AC31EF8}" id="{9A4F2E3E-5EB8-DD45-8B5A-38489E83A64D}">
    <text>adjust in cell F 109</text>
  </threadedComment>
  <threadedComment ref="H35" dT="2025-09-29T23:47:33.74" personId="{52703BC0-3719-0C49-8300-64D33AC31EF8}" id="{9EA693F1-7AC8-3E4C-8D88-AB92837CFDA4}">
    <text>adjust in cell F 109</text>
  </threadedComment>
  <threadedComment ref="H47" dT="2025-09-26T22:23:34.10" personId="{52703BC0-3719-0C49-8300-64D33AC31EF8}" id="{B45D4E1A-96D2-0644-BEF9-205453ABCEDF}">
    <text>Data from P. Henderson for Aug 27, 2025 meeting</text>
  </threadedComment>
  <threadedComment ref="H47" dT="2025-09-26T22:34:22.78" personId="{52703BC0-3719-0C49-8300-64D33AC31EF8}" id="{A46B7241-E908-DE4E-BBC8-618188E3FAFA}" parentId="{B45D4E1A-96D2-0644-BEF9-205453ABCEDF}">
    <text>Also Sept 2025 ZWC WTE financials</text>
  </threadedComment>
  <threadedComment ref="H47" dT="2025-09-30T00:56:45.43" personId="{52703BC0-3719-0C49-8300-64D33AC31EF8}" id="{163A00CD-02D1-CC44-B122-0A8EE6751CFA}" parentId="{B45D4E1A-96D2-0644-BEF9-205453ABCEDF}">
    <text>see next tab for details</text>
  </threadedComment>
  <threadedComment ref="F53" dT="2025-09-26T21:44:59.44" personId="{52703BC0-3719-0C49-8300-64D33AC31EF8}" id="{1A87DA4A-7652-234C-9448-13A14333E9B2}">
    <text>$100M acid gas, $80 M maintenance known, $40 M maintenance future, did not include DE nor biosolids, spread over 20 years, no interest</text>
  </threadedComment>
  <threadedComment ref="F53" dT="2025-11-14T04:15:41.00" personId="{52703BC0-3719-0C49-8300-64D33AC31EF8}" id="{816985CB-458A-B84A-8015-A907D61F86E0}" parentId="{1A87DA4A-7652-234C-9448-13A14333E9B2}">
    <text xml:space="preserve">plus another $200M
</text>
  </threadedComment>
  <threadedComment ref="H57" dT="2025-09-26T21:56:59.18" personId="{52703BC0-3719-0C49-8300-64D33AC31EF8}" id="{070B4630-3CAA-A64D-9AFB-EA8072F8741C}">
    <text>an overestimate as includes external landfill costs as well</text>
  </threadedComment>
  <threadedComment ref="H57" dT="2025-09-26T22:00:37.25" personId="{52703BC0-3719-0C49-8300-64D33AC31EF8}" id="{E48C2346-EE6B-6F4D-87D7-030E5AEE2F9A}" parentId="{070B4630-3CAA-A64D-9AFB-EA8072F8741C}">
    <text>calculated but total LF op costs /amount of waste inc reserve for closure</text>
  </threadedComment>
  <threadedComment ref="H59" dT="2025-09-26T21:54:08.86" personId="{52703BC0-3719-0C49-8300-64D33AC31EF8}" id="{E2FBC095-B8F2-1848-BBB0-64387C1639AE}">
    <text>RMOW quote $103 in 2020 times 7 years of 2% increase</text>
  </threadedComment>
  <threadedComment ref="F62" dT="2025-09-26T21:44:59.44" personId="{52703BC0-3719-0C49-8300-64D33AC31EF8}" id="{208FCAB2-9E85-3E40-91BC-12A970A3B9D8}">
    <text>$100M acid gas, $80 M maintenance known, $40 M maintenance future, did not include DE nor biosolids, spread over 20 years, no interest</text>
  </threadedComment>
  <threadedComment ref="H78" dT="2025-09-26T21:56:59.18" personId="{52703BC0-3719-0C49-8300-64D33AC31EF8}" id="{73365427-794A-F74B-BF18-11AD0BC0FC91}">
    <text>an overestimate as includes eternal landfill costs as well</text>
  </threadedComment>
  <threadedComment ref="H78" dT="2025-09-26T22:00:37.25" personId="{52703BC0-3719-0C49-8300-64D33AC31EF8}" id="{7A116B15-1898-284C-A96E-D542DEEF2BE0}" parentId="{73365427-794A-F74B-BF18-11AD0BC0FC91}">
    <text>calculated but total LF op costs /amount of waste inc reserve for closure</text>
  </threadedComment>
  <threadedComment ref="H80" dT="2025-09-26T21:54:08.86" personId="{52703BC0-3719-0C49-8300-64D33AC31EF8}" id="{F4DE4D5F-994C-514D-9B88-BF61088363D6}">
    <text>RMOW quote $103 in 2020 times 7 years of 2% increase</text>
  </threadedComment>
  <threadedComment ref="H99" dT="2025-09-26T21:56:59.18" personId="{52703BC0-3719-0C49-8300-64D33AC31EF8}" id="{BBE9B3CD-41C5-0D48-B811-A85835DA44BB}">
    <text>an overestimate as includes eternal landfill costs as well</text>
  </threadedComment>
  <threadedComment ref="H99" dT="2025-09-26T22:00:37.25" personId="{52703BC0-3719-0C49-8300-64D33AC31EF8}" id="{9ED45D58-FEDD-A440-9E0B-FC955EA62C25}" parentId="{BBE9B3CD-41C5-0D48-B811-A85835DA44BB}">
    <text>calculated but total LF op costs /amount of waste inc reserve for closure</text>
  </threadedComment>
  <threadedComment ref="H101" dT="2025-09-26T21:54:08.86" personId="{52703BC0-3719-0C49-8300-64D33AC31EF8}" id="{2AB35A43-8700-9B47-83F5-0500BF521A55}">
    <text>RMOW quote $103 in 2020 times 7 years of 2% increase</text>
  </threadedComment>
  <threadedComment ref="H120" dT="2025-09-26T21:56:59.18" personId="{52703BC0-3719-0C49-8300-64D33AC31EF8}" id="{BC89E346-CF0A-9E43-A123-80980137BE9F}">
    <text>an overestimate as includes eternal landfill costs as well</text>
  </threadedComment>
  <threadedComment ref="H120" dT="2025-09-26T22:00:37.25" personId="{52703BC0-3719-0C49-8300-64D33AC31EF8}" id="{5FAE95E1-0671-984A-AB7D-D3062CE4E0C8}" parentId="{BC89E346-CF0A-9E43-A123-80980137BE9F}">
    <text>calculated but total LF op costs /amount of waste inc reserve for closure</text>
  </threadedComment>
  <threadedComment ref="H122" dT="2025-09-26T21:54:08.86" personId="{52703BC0-3719-0C49-8300-64D33AC31EF8}" id="{00417088-6C67-D946-8731-F1B90F13E6D4}">
    <text>RMOW quote $103 in 2020 times 7 years of 2% increase</text>
  </threadedComment>
  <threadedComment ref="H138" dT="2025-09-26T23:07:47.86" personId="{52703BC0-3719-0C49-8300-64D33AC31EF8}" id="{DD75410D-E8F9-004A-8F36-F1F6A848C8C0}">
    <text>$10M per year on ZW initiatives</text>
  </threadedComment>
  <threadedComment ref="H139" dT="2025-09-26T23:07:47.86" personId="{52703BC0-3719-0C49-8300-64D33AC31EF8}" id="{58774106-4F35-D54B-8EF4-AC19239022E9}">
    <text>$10M per year on ZW initiatives</text>
  </threadedComment>
  <threadedComment ref="H144" dT="2025-09-26T23:07:47.86" personId="{52703BC0-3719-0C49-8300-64D33AC31EF8}" id="{D5AD2ADD-E171-B941-B0F0-2001BF774C33}">
    <text>$10M per year on ZW initiatives</text>
  </threadedComment>
  <threadedComment ref="H145" dT="2025-09-26T23:07:47.86" personId="{52703BC0-3719-0C49-8300-64D33AC31EF8}" id="{B7DB30BD-34A1-7240-BD37-D8755B9D7E73}">
    <text>$10M per year on ZW initiatives</text>
  </threadedComment>
</ThreadedComments>
</file>

<file path=xl/threadedComments/threadedComment5.xml><?xml version="1.0" encoding="utf-8"?>
<ThreadedComments xmlns="http://schemas.microsoft.com/office/spreadsheetml/2018/threadedcomments" xmlns:x="http://schemas.openxmlformats.org/spreadsheetml/2006/main">
  <threadedComment ref="E2" dT="2025-11-14T01:16:42.35" personId="{52703BC0-3719-0C49-8300-64D33AC31EF8}" id="{06BFC4BC-B35A-EE43-86B1-4ACCB8ECF817}">
    <text>data from Oct 24, 2025 email from P Henderson</text>
  </threadedComment>
  <threadedComment ref="E6" dT="2025-11-14T01:26:02.62" personId="{52703BC0-3719-0C49-8300-64D33AC31EF8}" id="{E8031C76-E42F-1343-93CF-805F441C92D3}">
    <text>separated out CoV waste -assumed as email stated far lower number</text>
  </threadedComment>
  <threadedComment ref="F6" dT="2025-11-14T01:43:03.22" personId="{52703BC0-3719-0C49-8300-64D33AC31EF8}" id="{4C134540-AB02-7F44-8B2E-DEE2637765E6}">
    <text>using 2022 data as do not have other piece of CoV waste</text>
  </threadedComment>
  <threadedComment ref="E9" dT="2025-11-14T01:25:31.88" personId="{52703BC0-3719-0C49-8300-64D33AC31EF8}" id="{F28AC0F6-6EA5-5F41-B829-90030E9A1269}">
    <text>used difference in 2022 to allocate</text>
  </threadedComment>
  <threadedComment ref="F9" dT="2025-11-14T01:43:03.22" personId="{52703BC0-3719-0C49-8300-64D33AC31EF8}" id="{8C1E3300-05A2-5B44-AAA8-25046E6779D8}">
    <text>using 2022 data as do not have other piece of CoV waste</text>
  </threadedComment>
  <threadedComment ref="E10" dT="2025-11-14T01:24:16.67" personId="{52703BC0-3719-0C49-8300-64D33AC31EF8}" id="{B3643A29-2CCD-E947-B566-076680A41E27}">
    <text>used 2022 numbers as not reported</text>
  </threadedComment>
  <threadedComment ref="F10" dT="2025-11-14T01:52:51.99" personId="{52703BC0-3719-0C49-8300-64D33AC31EF8}" id="{5B78D8EE-7387-4F4F-B524-078F3422FB8A}">
    <text>using 2022 data as no new data</text>
  </threadedComment>
  <threadedComment ref="H24" dT="2025-09-29T23:47:33.74" personId="{52703BC0-3719-0C49-8300-64D33AC31EF8}" id="{A7AE9FD9-41CE-DB4F-A060-3DEF7D5079E8}">
    <text>adjust in cell F 109</text>
  </threadedComment>
  <threadedComment ref="H35" dT="2025-09-29T23:47:33.74" personId="{52703BC0-3719-0C49-8300-64D33AC31EF8}" id="{D0479E3D-9C80-FB41-AD81-F72CBC60C4D4}">
    <text>adjust in cell F 109</text>
  </threadedComment>
  <threadedComment ref="H47" dT="2025-09-26T22:23:34.10" personId="{52703BC0-3719-0C49-8300-64D33AC31EF8}" id="{F6BE0BFB-5EF5-5543-B466-1E8F7E7B7501}">
    <text>Data from P. Henderson for Aug 27, 2025 meeting</text>
  </threadedComment>
  <threadedComment ref="H47" dT="2025-09-26T22:34:22.78" personId="{52703BC0-3719-0C49-8300-64D33AC31EF8}" id="{CCAFF9EB-D59B-624C-A17B-27430450CFE2}" parentId="{F6BE0BFB-5EF5-5543-B466-1E8F7E7B7501}">
    <text>Also Sept 2025 ZWC WTE financials</text>
  </threadedComment>
  <threadedComment ref="H47" dT="2025-09-30T00:56:45.43" personId="{52703BC0-3719-0C49-8300-64D33AC31EF8}" id="{6552B015-96C3-9644-B120-65076000658C}" parentId="{F6BE0BFB-5EF5-5543-B466-1E8F7E7B7501}">
    <text>see next tab for details</text>
  </threadedComment>
  <threadedComment ref="F53" dT="2025-09-26T21:44:59.44" personId="{52703BC0-3719-0C49-8300-64D33AC31EF8}" id="{E454984B-A176-AC44-8AA1-8A05F6FF5B61}">
    <text>$100M acid gas, $80 M maintenance known, $40 M maintenance future, did not include DE nor biosolids, spread over 20 years, no interest</text>
  </threadedComment>
  <threadedComment ref="H57" dT="2025-09-26T21:56:59.18" personId="{52703BC0-3719-0C49-8300-64D33AC31EF8}" id="{E57D9E28-74F2-5743-9427-C9A32A47959E}">
    <text>an overestimate as includes external landfill costs as well</text>
  </threadedComment>
  <threadedComment ref="H57" dT="2025-09-26T22:00:37.25" personId="{52703BC0-3719-0C49-8300-64D33AC31EF8}" id="{AF104100-7B10-5942-889C-0C25465BA91A}" parentId="{E57D9E28-74F2-5743-9427-C9A32A47959E}">
    <text>calculated but total LF op costs /amount of waste inc reserve for closure</text>
  </threadedComment>
  <threadedComment ref="H59" dT="2025-09-26T21:54:08.86" personId="{52703BC0-3719-0C49-8300-64D33AC31EF8}" id="{D112B714-BA86-7247-8928-9AF52AE72154}">
    <text>RMOW quote $103 in 2020 times 7 years of 2% increase</text>
  </threadedComment>
  <threadedComment ref="F62" dT="2025-09-26T21:44:59.44" personId="{52703BC0-3719-0C49-8300-64D33AC31EF8}" id="{187D6A0C-4E19-2247-8112-07DB1BE16437}">
    <text>$100M acid gas, $80 M maintenance known, $40 M maintenance future, did not include DE nor biosolids, spread over 20 years, no interest</text>
  </threadedComment>
  <threadedComment ref="H78" dT="2025-09-26T21:56:59.18" personId="{52703BC0-3719-0C49-8300-64D33AC31EF8}" id="{6308C333-0D06-9C45-99AB-0E09D4D4531E}">
    <text>an overestimate as includes eternal landfill costs as well</text>
  </threadedComment>
  <threadedComment ref="H78" dT="2025-09-26T22:00:37.25" personId="{52703BC0-3719-0C49-8300-64D33AC31EF8}" id="{EF042841-7127-8C41-B98B-707F2B4A7ED5}" parentId="{6308C333-0D06-9C45-99AB-0E09D4D4531E}">
    <text>calculated but total LF op costs /amount of waste inc reserve for closure</text>
  </threadedComment>
  <threadedComment ref="H80" dT="2025-09-26T21:54:08.86" personId="{52703BC0-3719-0C49-8300-64D33AC31EF8}" id="{9C530605-1989-754F-95DA-D97A5701D8D5}">
    <text>RMOW quote $103 in 2020 times 7 years of 2% increase</text>
  </threadedComment>
  <threadedComment ref="H99" dT="2025-09-26T21:56:59.18" personId="{52703BC0-3719-0C49-8300-64D33AC31EF8}" id="{B72BE60B-1470-6D44-A739-3A4C47B725FE}">
    <text>an overestimate as includes eternal landfill costs as well</text>
  </threadedComment>
  <threadedComment ref="H99" dT="2025-09-26T22:00:37.25" personId="{52703BC0-3719-0C49-8300-64D33AC31EF8}" id="{D6826F40-A437-1E4A-BB8F-8086E53B4F96}" parentId="{B72BE60B-1470-6D44-A739-3A4C47B725FE}">
    <text>calculated but total LF op costs /amount of waste inc reserve for closure</text>
  </threadedComment>
  <threadedComment ref="H101" dT="2025-09-26T21:54:08.86" personId="{52703BC0-3719-0C49-8300-64D33AC31EF8}" id="{7E517377-9FE5-B542-B337-81D6EEBB604C}">
    <text>RMOW quote $103 in 2020 times 7 years of 2% increase</text>
  </threadedComment>
  <threadedComment ref="H120" dT="2025-09-26T21:56:59.18" personId="{52703BC0-3719-0C49-8300-64D33AC31EF8}" id="{968E0379-2FE8-2646-91B6-5D899C789A32}">
    <text>an overestimate as includes eternal landfill costs as well</text>
  </threadedComment>
  <threadedComment ref="H120" dT="2025-09-26T22:00:37.25" personId="{52703BC0-3719-0C49-8300-64D33AC31EF8}" id="{66553C52-8027-EC4F-9A55-13CAF796832C}" parentId="{968E0379-2FE8-2646-91B6-5D899C789A32}">
    <text>calculated but total LF op costs /amount of waste inc reserve for closure</text>
  </threadedComment>
  <threadedComment ref="H122" dT="2025-09-26T21:54:08.86" personId="{52703BC0-3719-0C49-8300-64D33AC31EF8}" id="{AD0B8134-F824-AD41-8004-DDDC6D023C8A}">
    <text>RMOW quote $103 in 2020 times 7 years of 2% increase</text>
  </threadedComment>
  <threadedComment ref="H138" dT="2025-09-26T23:07:47.86" personId="{52703BC0-3719-0C49-8300-64D33AC31EF8}" id="{BB56BD46-98E3-C349-B243-51F9D6F8E6E0}">
    <text>$10M per year on ZW initiatives</text>
  </threadedComment>
  <threadedComment ref="H139" dT="2025-09-26T23:07:47.86" personId="{52703BC0-3719-0C49-8300-64D33AC31EF8}" id="{529B283D-A4AC-6E4D-B46E-47C10C510DC4}">
    <text>$10M per year on ZW initiatives</text>
  </threadedComment>
  <threadedComment ref="H144" dT="2025-09-26T23:07:47.86" personId="{52703BC0-3719-0C49-8300-64D33AC31EF8}" id="{1FD1FE0B-BE66-4647-8AFB-4FBFFED37154}">
    <text>$10M per year on ZW initiatives</text>
  </threadedComment>
  <threadedComment ref="H145" dT="2025-09-26T23:07:47.86" personId="{52703BC0-3719-0C49-8300-64D33AC31EF8}" id="{508BFD4C-686C-EB4F-B3A5-13A3C06826CD}">
    <text>$10M per year on ZW initiatives</text>
  </threadedComment>
</ThreadedComments>
</file>

<file path=xl/threadedComments/threadedComment6.xml><?xml version="1.0" encoding="utf-8"?>
<ThreadedComments xmlns="http://schemas.microsoft.com/office/spreadsheetml/2018/threadedcomments" xmlns:x="http://schemas.openxmlformats.org/spreadsheetml/2006/main">
  <threadedComment ref="E2" dT="2025-11-14T01:16:42.35" personId="{52703BC0-3719-0C49-8300-64D33AC31EF8}" id="{E629A8C7-B399-A14A-A6BB-D64AF7CC75F7}">
    <text>data from Oct 24, 2025 email from P Henderson</text>
  </threadedComment>
  <threadedComment ref="E6" dT="2025-11-14T01:26:02.62" personId="{52703BC0-3719-0C49-8300-64D33AC31EF8}" id="{1571EB24-BFFE-AD47-ADC9-31A09B670247}">
    <text>separated out CoV waste -assumed as email stated far lower number</text>
  </threadedComment>
  <threadedComment ref="F6" dT="2025-11-14T01:43:03.22" personId="{52703BC0-3719-0C49-8300-64D33AC31EF8}" id="{14526060-D03B-9343-8112-150CD2B2CFE2}">
    <text>using 2022 data as do not have other piece of CoV waste</text>
  </threadedComment>
  <threadedComment ref="E9" dT="2025-11-14T01:25:31.88" personId="{52703BC0-3719-0C49-8300-64D33AC31EF8}" id="{CAD03EC8-3AF8-154E-B19F-26072522E491}">
    <text>used difference in 2022 to allocate</text>
  </threadedComment>
  <threadedComment ref="F9" dT="2025-11-14T01:43:03.22" personId="{52703BC0-3719-0C49-8300-64D33AC31EF8}" id="{D314510F-8FB8-1049-A0DF-9F3B2A59856B}">
    <text>using 2022 data as do not have other piece of CoV waste</text>
  </threadedComment>
  <threadedComment ref="E10" dT="2025-11-14T01:24:16.67" personId="{52703BC0-3719-0C49-8300-64D33AC31EF8}" id="{8BFA685D-DCCE-1B42-AA9B-0A6477756CE4}">
    <text>used 2022 numbers as not reported</text>
  </threadedComment>
  <threadedComment ref="F10" dT="2025-11-14T01:52:51.99" personId="{52703BC0-3719-0C49-8300-64D33AC31EF8}" id="{CA2CEE06-ED58-314A-A97D-A67A8595F83B}">
    <text>using 2022 data as no new data</text>
  </threadedComment>
  <threadedComment ref="H24" dT="2025-09-29T23:47:33.74" personId="{52703BC0-3719-0C49-8300-64D33AC31EF8}" id="{0FBB6DB3-999D-1E46-95C2-6F55BD21647B}">
    <text>adjust in cell F 109</text>
  </threadedComment>
  <threadedComment ref="H35" dT="2025-09-29T23:47:33.74" personId="{52703BC0-3719-0C49-8300-64D33AC31EF8}" id="{D1CF6C91-1267-E541-AF76-9DAB5EE36470}">
    <text>adjust in cell F 109</text>
  </threadedComment>
  <threadedComment ref="H47" dT="2025-09-26T22:23:34.10" personId="{52703BC0-3719-0C49-8300-64D33AC31EF8}" id="{B3C34DCF-C8D3-4944-AF71-EA4F13630F30}">
    <text>Data from P. Henderson for Aug 27, 2025 meeting</text>
  </threadedComment>
  <threadedComment ref="H47" dT="2025-09-26T22:34:22.78" personId="{52703BC0-3719-0C49-8300-64D33AC31EF8}" id="{7F1C52FC-8409-8540-8593-B9613DA78BFD}" parentId="{B3C34DCF-C8D3-4944-AF71-EA4F13630F30}">
    <text>Also Sept 2025 ZWC WTE financials</text>
  </threadedComment>
  <threadedComment ref="H47" dT="2025-09-30T00:56:45.43" personId="{52703BC0-3719-0C49-8300-64D33AC31EF8}" id="{FF16FB80-B0B0-2A43-B039-AE527941CDF5}" parentId="{B3C34DCF-C8D3-4944-AF71-EA4F13630F30}">
    <text>see next tab for details</text>
  </threadedComment>
  <threadedComment ref="F53" dT="2025-09-26T21:44:59.44" personId="{52703BC0-3719-0C49-8300-64D33AC31EF8}" id="{927611B4-AB1D-B44A-9717-5F628C86BD0D}">
    <text>$100M acid gas, $80 M maintenance known, $40 M maintenance future, did not include DE nor biosolids, spread over 20 years, no interest</text>
  </threadedComment>
  <threadedComment ref="H57" dT="2025-09-26T21:56:59.18" personId="{52703BC0-3719-0C49-8300-64D33AC31EF8}" id="{3C4FA5B5-D3EB-7749-ADE8-D0967B6DB091}">
    <text>an overestimate as includes external landfill costs as well</text>
  </threadedComment>
  <threadedComment ref="H57" dT="2025-09-26T22:00:37.25" personId="{52703BC0-3719-0C49-8300-64D33AC31EF8}" id="{C4E22C1E-5159-B74B-90A8-ACC2FED9B6A3}" parentId="{3C4FA5B5-D3EB-7749-ADE8-D0967B6DB091}">
    <text>calculated but total LF op costs /amount of waste inc reserve for closure</text>
  </threadedComment>
  <threadedComment ref="H59" dT="2025-09-26T21:54:08.86" personId="{52703BC0-3719-0C49-8300-64D33AC31EF8}" id="{709202E8-2AF1-D54C-AFDF-F76D31540E1E}">
    <text>RMOW quote $103 in 2020 times 7 years of 2% increase</text>
  </threadedComment>
  <threadedComment ref="F62" dT="2025-09-26T21:44:59.44" personId="{52703BC0-3719-0C49-8300-64D33AC31EF8}" id="{D7E13654-A14F-2C48-A874-B6517C15C0C5}">
    <text>$100M acid gas, $80 M maintenance known, $40 M maintenance future, did not include DE nor biosolids, spread over 20 years, no interest</text>
  </threadedComment>
  <threadedComment ref="H78" dT="2025-09-26T21:56:59.18" personId="{52703BC0-3719-0C49-8300-64D33AC31EF8}" id="{8D4EA9C3-5605-1344-B680-047FB8994A06}">
    <text>an overestimate as includes eternal landfill costs as well</text>
  </threadedComment>
  <threadedComment ref="H78" dT="2025-09-26T22:00:37.25" personId="{52703BC0-3719-0C49-8300-64D33AC31EF8}" id="{5CA1ED74-4BB1-6349-8881-829C3C81353C}" parentId="{8D4EA9C3-5605-1344-B680-047FB8994A06}">
    <text>calculated but total LF op costs /amount of waste inc reserve for closure</text>
  </threadedComment>
  <threadedComment ref="H80" dT="2025-09-26T21:54:08.86" personId="{52703BC0-3719-0C49-8300-64D33AC31EF8}" id="{F374BD41-EDD3-694B-A47D-D981380D2A86}">
    <text>RMOW quote $103 in 2020 times 7 years of 2% increase</text>
  </threadedComment>
  <threadedComment ref="H99" dT="2025-09-26T21:56:59.18" personId="{52703BC0-3719-0C49-8300-64D33AC31EF8}" id="{5B346F63-B601-B94D-B3C6-E14DA4C43E3C}">
    <text>an overestimate as includes eternal landfill costs as well</text>
  </threadedComment>
  <threadedComment ref="H99" dT="2025-09-26T22:00:37.25" personId="{52703BC0-3719-0C49-8300-64D33AC31EF8}" id="{924D257E-4371-D647-B800-2C530C808DB2}" parentId="{5B346F63-B601-B94D-B3C6-E14DA4C43E3C}">
    <text>calculated but total LF op costs /amount of waste inc reserve for closure</text>
  </threadedComment>
  <threadedComment ref="H101" dT="2025-09-26T21:54:08.86" personId="{52703BC0-3719-0C49-8300-64D33AC31EF8}" id="{60DA4C84-86DE-DC40-BEF4-C19B36378625}">
    <text>RMOW quote $103 in 2020 times 7 years of 2% increase</text>
  </threadedComment>
  <threadedComment ref="H120" dT="2025-09-26T21:56:59.18" personId="{52703BC0-3719-0C49-8300-64D33AC31EF8}" id="{14F3406A-0943-9047-95B3-18DEB2D6D62A}">
    <text>an overestimate as includes eternal landfill costs as well</text>
  </threadedComment>
  <threadedComment ref="H120" dT="2025-09-26T22:00:37.25" personId="{52703BC0-3719-0C49-8300-64D33AC31EF8}" id="{B527A5EF-2ACF-054F-AC18-AA4A59016A10}" parentId="{14F3406A-0943-9047-95B3-18DEB2D6D62A}">
    <text>calculated but total LF op costs /amount of waste inc reserve for closure</text>
  </threadedComment>
  <threadedComment ref="H122" dT="2025-09-26T21:54:08.86" personId="{52703BC0-3719-0C49-8300-64D33AC31EF8}" id="{CDD4A488-44C0-6B49-B3F3-7AADE89FCC94}">
    <text>RMOW quote $103 in 2020 times 7 years of 2% increase</text>
  </threadedComment>
  <threadedComment ref="H138" dT="2025-09-26T23:07:47.86" personId="{52703BC0-3719-0C49-8300-64D33AC31EF8}" id="{E5DC5718-258A-E646-8E8E-EC180F9C4643}">
    <text>$10M per year on ZW initiatives</text>
  </threadedComment>
  <threadedComment ref="H139" dT="2025-09-26T23:07:47.86" personId="{52703BC0-3719-0C49-8300-64D33AC31EF8}" id="{BA3317F5-70A9-6F4A-B49C-615BAA9C9039}">
    <text>$10M per year on ZW initiatives</text>
  </threadedComment>
  <threadedComment ref="H144" dT="2025-09-26T23:07:47.86" personId="{52703BC0-3719-0C49-8300-64D33AC31EF8}" id="{ECA90EA1-2D14-124A-99BC-49FC155E6006}">
    <text>$10M per year on ZW initiatives</text>
  </threadedComment>
  <threadedComment ref="H145" dT="2025-09-26T23:07:47.86" personId="{52703BC0-3719-0C49-8300-64D33AC31EF8}" id="{23AA06B5-2B1A-5A42-A4EC-4550405F629E}">
    <text>$10M per year on ZW initiatives</text>
  </threadedComment>
</ThreadedComments>
</file>

<file path=xl/threadedComments/threadedComment7.xml><?xml version="1.0" encoding="utf-8"?>
<ThreadedComments xmlns="http://schemas.microsoft.com/office/spreadsheetml/2018/threadedcomments" xmlns:x="http://schemas.openxmlformats.org/spreadsheetml/2006/main">
  <threadedComment ref="F1" dT="2025-09-26T22:23:34.10" personId="{52703BC0-3719-0C49-8300-64D33AC31EF8}" id="{43DC8B6D-20F1-A54A-AF9E-D20E4938242C}">
    <text>Data from P. Henderson for Aug 27, 2025 meeting</text>
  </threadedComment>
  <threadedComment ref="F1" dT="2025-09-26T22:34:22.78" personId="{52703BC0-3719-0C49-8300-64D33AC31EF8}" id="{EE01A8BF-DB96-8C40-BABA-3E9B946052FC}" parentId="{43DC8B6D-20F1-A54A-AF9E-D20E4938242C}">
    <text>Also Sept 2025 ZWC WTE financials</text>
  </threadedComment>
  <threadedComment ref="H3" dT="2025-09-30T00:53:44.92" personId="{52703BC0-3719-0C49-8300-64D33AC31EF8}" id="{6EEA512C-FB13-0345-81A3-6BF0A5BBA175}">
    <text>added back in $2 M revenue as noted in package from insurance to ensure usual income</text>
  </threadedComment>
  <threadedComment ref="K3" dT="2025-09-09T23:24:30.92" personId="{52703BC0-3719-0C49-8300-64D33AC31EF8}" id="{0DE90EB4-49F0-0E4A-A493-AC15D65C54CC}">
    <text>from ZWC agenda Sept 11 2025 p 33</text>
  </threadedComment>
  <threadedComment ref="E7" dT="2025-09-26T21:44:59.44" personId="{52703BC0-3719-0C49-8300-64D33AC31EF8}" id="{AE94CFA1-7B04-704C-AAA3-B2D3C757ED90}">
    <text>$100M acid gas, $80 M maintenance known, $40 M maintenance future, did not include DE nor biosolids, spread over 20 years, no interest</text>
  </threadedComment>
</ThreadedComments>
</file>

<file path=xl/threadedComments/threadedComment8.xml><?xml version="1.0" encoding="utf-8"?>
<ThreadedComments xmlns="http://schemas.microsoft.com/office/spreadsheetml/2018/threadedcomments" xmlns:x="http://schemas.openxmlformats.org/spreadsheetml/2006/main">
  <threadedComment ref="E2" dT="2025-11-14T01:16:42.35" personId="{52703BC0-3719-0C49-8300-64D33AC31EF8}" id="{949763A8-3D5B-D941-B3A9-BF2B038C3CCD}">
    <text>data from Oct 24, 2025 email from P Henderson</text>
  </threadedComment>
  <threadedComment ref="E6" dT="2025-11-14T01:26:02.62" personId="{52703BC0-3719-0C49-8300-64D33AC31EF8}" id="{EEEB9BAA-6ADD-5641-B8E3-509AAEF2A553}">
    <text>separated out CoV waste -assumed as email stated far lower number</text>
  </threadedComment>
  <threadedComment ref="F6" dT="2025-11-14T01:43:03.22" personId="{52703BC0-3719-0C49-8300-64D33AC31EF8}" id="{8C3C5D04-E632-8C42-BC15-22940EA31BD2}">
    <text>using 2022 data as do not have other piece of CoV waste</text>
  </threadedComment>
  <threadedComment ref="E9" dT="2025-11-14T01:25:31.88" personId="{52703BC0-3719-0C49-8300-64D33AC31EF8}" id="{4A60F343-A974-3647-8D2D-7F67ACB5D2D8}">
    <text>used difference in 2022 to allocate</text>
  </threadedComment>
  <threadedComment ref="F9" dT="2025-11-14T01:43:03.22" personId="{52703BC0-3719-0C49-8300-64D33AC31EF8}" id="{C57418CE-8292-C94C-A14D-407DC0746813}">
    <text>using 2022 data as do not have other piece of CoV waste</text>
  </threadedComment>
  <threadedComment ref="E10" dT="2025-11-14T01:24:16.67" personId="{52703BC0-3719-0C49-8300-64D33AC31EF8}" id="{21BA3063-CD8C-EA49-BB33-37C6EF4307EA}">
    <text>used 2022 numbers as not reported</text>
  </threadedComment>
  <threadedComment ref="F10" dT="2025-11-14T01:52:51.99" personId="{52703BC0-3719-0C49-8300-64D33AC31EF8}" id="{8B495DF2-E163-F941-A679-9C864486EB33}">
    <text>using 2022 data as no new data</text>
  </threadedComment>
  <threadedComment ref="H24" dT="2025-09-29T23:47:33.74" personId="{52703BC0-3719-0C49-8300-64D33AC31EF8}" id="{943A7328-D5AA-014D-BAA5-9FF9E90F8E60}">
    <text>adjust in cell F 109</text>
  </threadedComment>
  <threadedComment ref="H35" dT="2025-09-29T23:47:33.74" personId="{52703BC0-3719-0C49-8300-64D33AC31EF8}" id="{46E605C8-5818-0E45-A72F-BAB68D0A6688}">
    <text>adjust in cell F 109</text>
  </threadedComment>
  <threadedComment ref="H47" dT="2025-09-26T22:23:34.10" personId="{52703BC0-3719-0C49-8300-64D33AC31EF8}" id="{18FC5284-1635-BE41-973C-BF15F2A46A99}">
    <text>Data from P. Henderson for Aug 27, 2025 meeting</text>
  </threadedComment>
  <threadedComment ref="H47" dT="2025-09-26T22:34:22.78" personId="{52703BC0-3719-0C49-8300-64D33AC31EF8}" id="{BC8ADA60-D6C7-2C42-8F48-B91E70ABAF90}" parentId="{18FC5284-1635-BE41-973C-BF15F2A46A99}">
    <text>Also Sept 2025 ZWC WTE financials</text>
  </threadedComment>
  <threadedComment ref="H47" dT="2025-09-30T00:56:45.43" personId="{52703BC0-3719-0C49-8300-64D33AC31EF8}" id="{60D03506-C728-D142-B221-305501F01585}" parentId="{18FC5284-1635-BE41-973C-BF15F2A46A99}">
    <text>see next tab for details</text>
  </threadedComment>
  <threadedComment ref="F53" dT="2025-09-26T21:44:59.44" personId="{52703BC0-3719-0C49-8300-64D33AC31EF8}" id="{34A23D68-DB7F-7A4C-90D6-9CB7BF119CCF}">
    <text>$100M acid gas, $80 M maintenance known, $40 M maintenance future, did not include DE nor biosolids, spread over 20 years, no interest</text>
  </threadedComment>
  <threadedComment ref="H57" dT="2025-09-26T21:56:59.18" personId="{52703BC0-3719-0C49-8300-64D33AC31EF8}" id="{B46EB4D6-73A1-904E-9F87-D1FFA9325EBE}">
    <text>an overestimate as includes external landfill costs as well</text>
  </threadedComment>
  <threadedComment ref="H57" dT="2025-09-26T22:00:37.25" personId="{52703BC0-3719-0C49-8300-64D33AC31EF8}" id="{DFDFDC6B-4706-9240-AA1F-24F6AD3DD276}" parentId="{B46EB4D6-73A1-904E-9F87-D1FFA9325EBE}">
    <text>calculated but total LF op costs /amount of waste inc reserve for closure</text>
  </threadedComment>
  <threadedComment ref="H59" dT="2025-09-26T21:54:08.86" personId="{52703BC0-3719-0C49-8300-64D33AC31EF8}" id="{3EAA6D6A-1B9B-DE40-A5ED-481891D67E7B}">
    <text>RMOW quote $103 in 2020 times 7 years of 2% increase</text>
  </threadedComment>
  <threadedComment ref="F62" dT="2025-09-26T21:44:59.44" personId="{52703BC0-3719-0C49-8300-64D33AC31EF8}" id="{FD331602-A5F4-C741-A4C0-3DDB9B4B224B}">
    <text>$100M acid gas, $80 M maintenance known, $40 M maintenance future, did not include DE nor biosolids, spread over 20 years, no interest</text>
  </threadedComment>
  <threadedComment ref="H78" dT="2025-09-26T21:56:59.18" personId="{52703BC0-3719-0C49-8300-64D33AC31EF8}" id="{7306CB4F-C4C3-3C4F-9ED5-7F30EB1E0094}">
    <text>an overestimate as includes eternal landfill costs as well</text>
  </threadedComment>
  <threadedComment ref="H78" dT="2025-09-26T22:00:37.25" personId="{52703BC0-3719-0C49-8300-64D33AC31EF8}" id="{6042EA95-BE02-1E40-B266-5D0105F37103}" parentId="{7306CB4F-C4C3-3C4F-9ED5-7F30EB1E0094}">
    <text>calculated but total LF op costs /amount of waste inc reserve for closure</text>
  </threadedComment>
  <threadedComment ref="H80" dT="2025-09-26T21:54:08.86" personId="{52703BC0-3719-0C49-8300-64D33AC31EF8}" id="{8C856F4B-FDB8-744D-A8B1-224792E1E284}">
    <text>RMOW quote $103 in 2020 times 7 years of 2% increase</text>
  </threadedComment>
  <threadedComment ref="H99" dT="2025-09-26T21:56:59.18" personId="{52703BC0-3719-0C49-8300-64D33AC31EF8}" id="{DE67B76D-9979-1143-AB00-45344B0A4AEC}">
    <text>an overestimate as includes eternal landfill costs as well</text>
  </threadedComment>
  <threadedComment ref="H99" dT="2025-09-26T22:00:37.25" personId="{52703BC0-3719-0C49-8300-64D33AC31EF8}" id="{83C2669D-33DF-CF43-A599-4FFD86631BA0}" parentId="{DE67B76D-9979-1143-AB00-45344B0A4AEC}">
    <text>calculated but total LF op costs /amount of waste inc reserve for closure</text>
  </threadedComment>
  <threadedComment ref="H101" dT="2025-09-26T21:54:08.86" personId="{52703BC0-3719-0C49-8300-64D33AC31EF8}" id="{869C125E-7BD4-4C41-9DC9-7CCF7FCA79BB}">
    <text>RMOW quote $103 in 2020 times 7 years of 2% increase</text>
  </threadedComment>
  <threadedComment ref="H120" dT="2025-09-26T21:56:59.18" personId="{52703BC0-3719-0C49-8300-64D33AC31EF8}" id="{BF6BD9C2-E3B5-7C46-B10D-1DC962FB4563}">
    <text>an overestimate as includes eternal landfill costs as well</text>
  </threadedComment>
  <threadedComment ref="H120" dT="2025-09-26T22:00:37.25" personId="{52703BC0-3719-0C49-8300-64D33AC31EF8}" id="{54AE250F-82E3-874D-82A1-16BD1EBC1158}" parentId="{BF6BD9C2-E3B5-7C46-B10D-1DC962FB4563}">
    <text>calculated but total LF op costs /amount of waste inc reserve for closure</text>
  </threadedComment>
  <threadedComment ref="H122" dT="2025-09-26T21:54:08.86" personId="{52703BC0-3719-0C49-8300-64D33AC31EF8}" id="{309DC074-1E28-D34B-B42B-E4CE692D47BF}">
    <text>RMOW quote $103 in 2020 times 7 years of 2% increase</text>
  </threadedComment>
  <threadedComment ref="H138" dT="2025-09-26T23:07:47.86" personId="{52703BC0-3719-0C49-8300-64D33AC31EF8}" id="{E666B8E3-8745-6C4B-B593-6BAFAE88DBBA}">
    <text>$10M per year on ZW initiatives</text>
  </threadedComment>
  <threadedComment ref="H139" dT="2025-09-26T23:07:47.86" personId="{52703BC0-3719-0C49-8300-64D33AC31EF8}" id="{7588F603-0D40-9748-ADC4-59993E5A6D24}">
    <text>$10M per year on ZW initiatives</text>
  </threadedComment>
  <threadedComment ref="H144" dT="2025-09-26T23:07:47.86" personId="{52703BC0-3719-0C49-8300-64D33AC31EF8}" id="{6B73B4D5-3221-EC48-9842-EDB90DD8048C}">
    <text>$10M per year on ZW initiatives</text>
  </threadedComment>
  <threadedComment ref="H145" dT="2025-09-26T23:07:47.86" personId="{52703BC0-3719-0C49-8300-64D33AC31EF8}" id="{BA6E6751-4A0F-6446-B0A3-A3CF5D294306}">
    <text>$10M per year on ZW initiatives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2.xml"/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3.xml"/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4.xml"/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5.xml"/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6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6.xml"/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drawing" Target="../drawings/drawing1.xml"/><Relationship Id="rId4" Type="http://schemas.microsoft.com/office/2017/10/relationships/threadedComment" Target="../threadedComments/threadedComment7.xml"/></Relationships>
</file>

<file path=xl/worksheets/_rels/sheet8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8.xml"/><Relationship Id="rId2" Type="http://schemas.openxmlformats.org/officeDocument/2006/relationships/comments" Target="../comments8.xml"/><Relationship Id="rId1" Type="http://schemas.openxmlformats.org/officeDocument/2006/relationships/vmlDrawing" Target="../drawings/vmlDrawing8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87495E-2458-094B-B50E-8C802C745249}">
  <dimension ref="A1:U176"/>
  <sheetViews>
    <sheetView tabSelected="1" workbookViewId="0">
      <pane xSplit="1" ySplit="2" topLeftCell="B149" activePane="bottomRight" state="frozen"/>
      <selection pane="topRight" activeCell="B1" sqref="B1"/>
      <selection pane="bottomLeft" activeCell="A3" sqref="A3"/>
      <selection pane="bottomRight" activeCell="A169" sqref="A169:A176"/>
    </sheetView>
  </sheetViews>
  <sheetFormatPr baseColWidth="10" defaultRowHeight="16" x14ac:dyDescent="0.2"/>
  <cols>
    <col min="1" max="1" width="40.33203125" customWidth="1"/>
    <col min="2" max="2" width="13" customWidth="1"/>
    <col min="6" max="6" width="16" bestFit="1" customWidth="1"/>
    <col min="7" max="7" width="16" customWidth="1"/>
    <col min="8" max="8" width="15.83203125" customWidth="1"/>
    <col min="9" max="18" width="14.6640625" customWidth="1"/>
    <col min="19" max="19" width="18" customWidth="1"/>
  </cols>
  <sheetData>
    <row r="1" spans="1:21" ht="34" x14ac:dyDescent="0.2">
      <c r="A1" s="1" t="s">
        <v>0</v>
      </c>
      <c r="B1" s="2" t="s">
        <v>1</v>
      </c>
      <c r="C1" s="2"/>
      <c r="D1" s="2"/>
      <c r="E1" s="2"/>
      <c r="F1" s="36" t="s">
        <v>112</v>
      </c>
      <c r="G1" s="53" t="s">
        <v>114</v>
      </c>
      <c r="H1" s="2" t="s">
        <v>2</v>
      </c>
      <c r="I1" s="3" t="s">
        <v>3</v>
      </c>
      <c r="J1" s="3"/>
      <c r="K1" s="3"/>
      <c r="L1" s="3"/>
      <c r="M1" s="3"/>
      <c r="N1" s="3"/>
      <c r="O1" s="3"/>
      <c r="P1" s="3"/>
      <c r="Q1" s="3"/>
      <c r="R1" s="3"/>
    </row>
    <row r="2" spans="1:21" s="15" customFormat="1" x14ac:dyDescent="0.2">
      <c r="A2" s="15" t="s">
        <v>4</v>
      </c>
      <c r="B2" s="15">
        <v>2010</v>
      </c>
      <c r="C2" s="15">
        <v>2020</v>
      </c>
      <c r="D2" s="15">
        <v>2022</v>
      </c>
      <c r="E2" s="15">
        <v>2024</v>
      </c>
      <c r="I2" s="15">
        <v>2027</v>
      </c>
      <c r="J2" s="15">
        <f>I2+1</f>
        <v>2028</v>
      </c>
      <c r="K2" s="15">
        <f t="shared" ref="K2:Q2" si="0">J2+1</f>
        <v>2029</v>
      </c>
      <c r="L2" s="15">
        <f t="shared" si="0"/>
        <v>2030</v>
      </c>
      <c r="M2" s="15">
        <f t="shared" si="0"/>
        <v>2031</v>
      </c>
      <c r="N2" s="15">
        <f t="shared" si="0"/>
        <v>2032</v>
      </c>
      <c r="O2" s="15">
        <f t="shared" si="0"/>
        <v>2033</v>
      </c>
      <c r="P2" s="15">
        <f t="shared" si="0"/>
        <v>2034</v>
      </c>
      <c r="Q2" s="15">
        <f t="shared" si="0"/>
        <v>2035</v>
      </c>
      <c r="R2" s="15">
        <f>Q2+1</f>
        <v>2036</v>
      </c>
      <c r="S2" s="15" t="s">
        <v>110</v>
      </c>
    </row>
    <row r="3" spans="1:21" x14ac:dyDescent="0.2">
      <c r="A3" t="s">
        <v>5</v>
      </c>
      <c r="B3" s="4">
        <v>2351496</v>
      </c>
      <c r="C3" s="4">
        <v>2766953</v>
      </c>
      <c r="D3" s="4">
        <v>2854375</v>
      </c>
      <c r="E3" s="4">
        <v>3124079</v>
      </c>
      <c r="F3" s="9"/>
      <c r="G3" s="9"/>
      <c r="H3" s="5"/>
      <c r="I3" s="4">
        <f>3124079+3*42500</f>
        <v>3251579</v>
      </c>
      <c r="J3" s="4">
        <f>I3+42500</f>
        <v>3294079</v>
      </c>
      <c r="K3" s="4">
        <f t="shared" ref="K3:R3" si="1">J3+42500</f>
        <v>3336579</v>
      </c>
      <c r="L3" s="4">
        <f t="shared" si="1"/>
        <v>3379079</v>
      </c>
      <c r="M3" s="4">
        <f t="shared" si="1"/>
        <v>3421579</v>
      </c>
      <c r="N3" s="4">
        <f t="shared" si="1"/>
        <v>3464079</v>
      </c>
      <c r="O3" s="4">
        <f t="shared" si="1"/>
        <v>3506579</v>
      </c>
      <c r="P3" s="4">
        <f t="shared" si="1"/>
        <v>3549079</v>
      </c>
      <c r="Q3" s="4">
        <f t="shared" si="1"/>
        <v>3591579</v>
      </c>
      <c r="R3" s="4">
        <f t="shared" si="1"/>
        <v>3634079</v>
      </c>
      <c r="S3" t="s">
        <v>6</v>
      </c>
    </row>
    <row r="4" spans="1:21" ht="19" customHeight="1" x14ac:dyDescent="0.2">
      <c r="A4" t="s">
        <v>7</v>
      </c>
      <c r="B4" s="6">
        <f>B13/B3</f>
        <v>0.60131933033269036</v>
      </c>
      <c r="C4" s="6">
        <f>C13/C3</f>
        <v>0.45757553525484529</v>
      </c>
      <c r="D4" s="6">
        <f>D13/D3</f>
        <v>0.44091964090212393</v>
      </c>
      <c r="E4" s="6">
        <f>E13/E3</f>
        <v>0.40831361818955281</v>
      </c>
      <c r="F4" s="52">
        <f>E4/B4-1</f>
        <v>-0.32097041024168271</v>
      </c>
      <c r="G4" s="52"/>
      <c r="H4" s="8">
        <f>F4/14</f>
        <v>-2.292645787440591E-2</v>
      </c>
      <c r="I4" s="9">
        <f>E4*(1+3*H4)</f>
        <v>0.38023006328864567</v>
      </c>
      <c r="J4" s="9">
        <f>I4*(1+$H$4)</f>
        <v>0.37151273476007585</v>
      </c>
      <c r="K4" s="9">
        <f t="shared" ref="K4:R4" si="2">J4*(1+$H$4)</f>
        <v>0.36299526369679364</v>
      </c>
      <c r="L4" s="9">
        <f t="shared" si="2"/>
        <v>0.35467306807504023</v>
      </c>
      <c r="M4" s="9">
        <f t="shared" si="2"/>
        <v>0.34654167092063148</v>
      </c>
      <c r="N4" s="9">
        <f t="shared" si="2"/>
        <v>0.33859669790054336</v>
      </c>
      <c r="O4" s="9">
        <f t="shared" si="2"/>
        <v>0.33083387496971361</v>
      </c>
      <c r="P4" s="9">
        <f t="shared" si="2"/>
        <v>0.32324902607179401</v>
      </c>
      <c r="Q4" s="9">
        <f t="shared" si="2"/>
        <v>0.31583807089261628</v>
      </c>
      <c r="R4" s="9">
        <f t="shared" si="2"/>
        <v>0.30859702266516309</v>
      </c>
      <c r="T4" s="9"/>
    </row>
    <row r="5" spans="1:21" s="21" customFormat="1" ht="17" customHeight="1" x14ac:dyDescent="0.2">
      <c r="A5" s="16" t="s">
        <v>12</v>
      </c>
      <c r="B5" s="17"/>
      <c r="C5" s="17"/>
      <c r="D5" s="17"/>
      <c r="E5" s="17"/>
      <c r="F5" s="18"/>
      <c r="H5" s="19"/>
      <c r="I5" s="20"/>
      <c r="J5" s="20"/>
      <c r="K5" s="20"/>
      <c r="L5" s="20"/>
      <c r="M5" s="20"/>
      <c r="N5" s="20"/>
      <c r="O5" s="20"/>
      <c r="P5" s="20"/>
      <c r="Q5" s="20"/>
      <c r="R5" s="20"/>
    </row>
    <row r="6" spans="1:21" x14ac:dyDescent="0.2">
      <c r="A6" s="10" t="s">
        <v>8</v>
      </c>
      <c r="B6" s="4">
        <v>567817</v>
      </c>
      <c r="C6" s="4">
        <f>615596+44138</f>
        <v>659734</v>
      </c>
      <c r="D6" s="4">
        <v>691083</v>
      </c>
      <c r="E6" s="4">
        <v>509495</v>
      </c>
      <c r="F6" s="7">
        <f>D6/B6-1</f>
        <v>0.21708754757254534</v>
      </c>
      <c r="G6" s="7">
        <f>E6/(E6+E9)</f>
        <v>0.7372414022628252</v>
      </c>
      <c r="H6" s="8">
        <f>F6/12</f>
        <v>1.8090628964378779E-2</v>
      </c>
      <c r="I6" s="11">
        <f>750000-I9</f>
        <v>580901.50889749289</v>
      </c>
      <c r="J6" s="11">
        <f t="shared" ref="J6:L6" si="3">750000-J9</f>
        <v>584778.33833038015</v>
      </c>
      <c r="K6" s="11">
        <f t="shared" si="3"/>
        <v>588566.28579658805</v>
      </c>
      <c r="L6" s="11">
        <f t="shared" si="3"/>
        <v>592267.38904478145</v>
      </c>
      <c r="M6" s="11">
        <f>M13-M10-M9-M7</f>
        <v>591603.34295220964</v>
      </c>
      <c r="N6" s="11">
        <f t="shared" ref="N6:R6" si="4">N13-N10-N9-N7</f>
        <v>582342.69202769268</v>
      </c>
      <c r="O6" s="11">
        <f t="shared" si="4"/>
        <v>572964.43505192571</v>
      </c>
      <c r="P6" s="11">
        <f t="shared" si="4"/>
        <v>563478.83221148769</v>
      </c>
      <c r="Q6" s="11">
        <f t="shared" si="4"/>
        <v>553895.73504986905</v>
      </c>
      <c r="R6" s="11">
        <f t="shared" si="4"/>
        <v>544224.59981196595</v>
      </c>
    </row>
    <row r="7" spans="1:21" x14ac:dyDescent="0.2">
      <c r="A7" s="10" t="s">
        <v>89</v>
      </c>
      <c r="B7" s="4">
        <v>284468</v>
      </c>
      <c r="C7" s="4">
        <v>244362</v>
      </c>
      <c r="D7" s="4">
        <v>233051</v>
      </c>
      <c r="E7" s="4">
        <v>243169</v>
      </c>
      <c r="F7" s="7">
        <f>E7/B7-1</f>
        <v>-0.14517977417495109</v>
      </c>
      <c r="G7" s="7"/>
      <c r="H7" s="8">
        <f t="shared" ref="H7:H13" si="5">F7/12</f>
        <v>-1.2098314514579258E-2</v>
      </c>
      <c r="I7" s="54">
        <v>250000</v>
      </c>
      <c r="J7" s="54">
        <f>$I$7</f>
        <v>250000</v>
      </c>
      <c r="K7" s="54">
        <f t="shared" ref="K7:R7" si="6">$I$7</f>
        <v>250000</v>
      </c>
      <c r="L7" s="54">
        <f t="shared" si="6"/>
        <v>250000</v>
      </c>
      <c r="M7" s="54">
        <f t="shared" si="6"/>
        <v>250000</v>
      </c>
      <c r="N7" s="54">
        <f t="shared" si="6"/>
        <v>250000</v>
      </c>
      <c r="O7" s="54">
        <f t="shared" si="6"/>
        <v>250000</v>
      </c>
      <c r="P7" s="54">
        <f t="shared" si="6"/>
        <v>250000</v>
      </c>
      <c r="Q7" s="54">
        <f t="shared" si="6"/>
        <v>250000</v>
      </c>
      <c r="R7" s="54">
        <f t="shared" si="6"/>
        <v>250000</v>
      </c>
      <c r="S7" t="s">
        <v>31</v>
      </c>
      <c r="T7" t="s">
        <v>117</v>
      </c>
    </row>
    <row r="8" spans="1:21" x14ac:dyDescent="0.2">
      <c r="A8" s="10" t="s">
        <v>9</v>
      </c>
      <c r="B8" s="4">
        <f>396384</f>
        <v>396384</v>
      </c>
      <c r="C8" s="4">
        <f>35340</f>
        <v>35340</v>
      </c>
      <c r="D8" s="4">
        <f>144603</f>
        <v>144603</v>
      </c>
      <c r="E8" s="4">
        <v>151539</v>
      </c>
      <c r="F8" s="7">
        <f t="shared" ref="F8" si="7">D8/B8-1</f>
        <v>-0.6351946597239041</v>
      </c>
      <c r="G8" s="7"/>
      <c r="H8" s="8">
        <f t="shared" si="5"/>
        <v>-5.2932888310325339E-2</v>
      </c>
      <c r="I8" s="13">
        <f>I13-I10-I7-750000</f>
        <v>46348.088958031265</v>
      </c>
      <c r="J8" s="13">
        <f>J13-J10-J7-750000</f>
        <v>33792.297805735841</v>
      </c>
      <c r="K8" s="13">
        <f t="shared" ref="K8" si="8">K13-K10-K7-750000</f>
        <v>21162.37395018409</v>
      </c>
      <c r="L8" s="13">
        <f>L13-L10-L7-750000</f>
        <v>8468.3161979389843</v>
      </c>
      <c r="M8" s="13"/>
      <c r="N8" s="13"/>
      <c r="O8" s="13"/>
      <c r="P8" s="13"/>
      <c r="Q8" s="13"/>
      <c r="R8" s="13"/>
    </row>
    <row r="9" spans="1:21" x14ac:dyDescent="0.2">
      <c r="A9" s="14" t="s">
        <v>111</v>
      </c>
      <c r="B9" s="49" t="s">
        <v>113</v>
      </c>
      <c r="C9" s="49" t="s">
        <v>113</v>
      </c>
      <c r="D9" s="49" t="s">
        <v>113</v>
      </c>
      <c r="E9" s="49">
        <f>D6-E6</f>
        <v>181588</v>
      </c>
      <c r="F9" s="7">
        <f>F6</f>
        <v>0.21708754757254534</v>
      </c>
      <c r="G9" s="7">
        <f>E9/(E9+E6)</f>
        <v>0.26275859773717486</v>
      </c>
      <c r="H9" s="51"/>
      <c r="I9" s="57">
        <f>E9*(1+3*H4)</f>
        <v>169098.49110250713</v>
      </c>
      <c r="J9" s="57">
        <f>I9*(1+$H$4)</f>
        <v>165221.66166961991</v>
      </c>
      <c r="K9" s="57">
        <f t="shared" ref="K9:R9" si="9">J9*(1+$H$4)</f>
        <v>161433.714203412</v>
      </c>
      <c r="L9" s="57">
        <f t="shared" si="9"/>
        <v>157732.61095521858</v>
      </c>
      <c r="M9" s="57">
        <f t="shared" si="9"/>
        <v>154116.36089473369</v>
      </c>
      <c r="N9" s="57">
        <f t="shared" si="9"/>
        <v>150583.01863892382</v>
      </c>
      <c r="O9" s="57">
        <f t="shared" si="9"/>
        <v>147130.68340549764</v>
      </c>
      <c r="P9" s="57">
        <f t="shared" si="9"/>
        <v>143757.49799036892</v>
      </c>
      <c r="Q9" s="57">
        <f t="shared" si="9"/>
        <v>140461.64776856275</v>
      </c>
      <c r="R9" s="57">
        <f t="shared" si="9"/>
        <v>137241.35971802715</v>
      </c>
      <c r="T9" s="55" t="s">
        <v>118</v>
      </c>
      <c r="U9" t="s">
        <v>119</v>
      </c>
    </row>
    <row r="10" spans="1:21" ht="17" customHeight="1" x14ac:dyDescent="0.2">
      <c r="A10" s="14" t="s">
        <v>10</v>
      </c>
      <c r="B10" s="4">
        <v>165331</v>
      </c>
      <c r="C10" s="4">
        <v>326654</v>
      </c>
      <c r="D10" s="4">
        <v>189813</v>
      </c>
      <c r="E10" s="4">
        <f>D10</f>
        <v>189813</v>
      </c>
      <c r="F10" s="7">
        <f>D10/B10-1</f>
        <v>0.14807870272362722</v>
      </c>
      <c r="G10" s="7"/>
      <c r="H10" s="8">
        <f>F10/12</f>
        <v>1.2339891893635602E-2</v>
      </c>
      <c r="I10" s="54">
        <v>190000</v>
      </c>
      <c r="J10" s="54">
        <f>I10</f>
        <v>190000</v>
      </c>
      <c r="K10" s="54">
        <f t="shared" ref="K10:R10" si="10">J10</f>
        <v>190000</v>
      </c>
      <c r="L10" s="54">
        <f t="shared" si="10"/>
        <v>190000</v>
      </c>
      <c r="M10" s="54">
        <f t="shared" si="10"/>
        <v>190000</v>
      </c>
      <c r="N10" s="54">
        <f t="shared" si="10"/>
        <v>190000</v>
      </c>
      <c r="O10" s="54">
        <f t="shared" si="10"/>
        <v>190000</v>
      </c>
      <c r="P10" s="54">
        <f t="shared" si="10"/>
        <v>190000</v>
      </c>
      <c r="Q10" s="54">
        <f t="shared" si="10"/>
        <v>190000</v>
      </c>
      <c r="R10" s="54">
        <f t="shared" si="10"/>
        <v>190000</v>
      </c>
      <c r="T10" t="s">
        <v>117</v>
      </c>
    </row>
    <row r="11" spans="1:21" ht="17" customHeight="1" x14ac:dyDescent="0.2">
      <c r="A11" t="s">
        <v>115</v>
      </c>
      <c r="B11" s="49"/>
      <c r="C11" s="49"/>
      <c r="D11" s="49"/>
      <c r="E11" s="49"/>
      <c r="F11" s="50"/>
      <c r="G11" s="50"/>
      <c r="H11" s="51"/>
      <c r="I11" s="11">
        <f>SUM(I6:I10)</f>
        <v>1236348.0889580313</v>
      </c>
      <c r="J11" s="11">
        <f t="shared" ref="J11:R11" si="11">SUM(J6:J10)</f>
        <v>1223792.2978057358</v>
      </c>
      <c r="K11" s="11">
        <f t="shared" si="11"/>
        <v>1211162.3739501841</v>
      </c>
      <c r="L11" s="11">
        <f t="shared" si="11"/>
        <v>1198468.316197939</v>
      </c>
      <c r="M11" s="11">
        <f>SUM(M6:M10)</f>
        <v>1185719.7038469433</v>
      </c>
      <c r="N11" s="11">
        <f t="shared" si="11"/>
        <v>1172925.7106666164</v>
      </c>
      <c r="O11" s="11">
        <f t="shared" si="11"/>
        <v>1160095.1184574233</v>
      </c>
      <c r="P11" s="11">
        <f t="shared" si="11"/>
        <v>1147236.3302018566</v>
      </c>
      <c r="Q11" s="11">
        <f t="shared" si="11"/>
        <v>1134357.3828184318</v>
      </c>
      <c r="R11" s="11">
        <f t="shared" si="11"/>
        <v>1121465.9595299931</v>
      </c>
    </row>
    <row r="12" spans="1:21" ht="17" customHeight="1" x14ac:dyDescent="0.2">
      <c r="A12" t="s">
        <v>116</v>
      </c>
      <c r="B12" s="49"/>
      <c r="C12" s="49"/>
      <c r="D12" s="49"/>
      <c r="E12" s="49">
        <f>E9+E6</f>
        <v>691083</v>
      </c>
      <c r="F12" s="50"/>
      <c r="G12" s="50"/>
      <c r="H12" s="51"/>
      <c r="I12" s="54">
        <f>I9+I6</f>
        <v>750000</v>
      </c>
      <c r="J12" s="54">
        <f>I12</f>
        <v>750000</v>
      </c>
      <c r="K12" s="54">
        <f>J12</f>
        <v>750000</v>
      </c>
      <c r="L12" s="54">
        <f t="shared" ref="L12:R12" si="12">L9+L6</f>
        <v>750000</v>
      </c>
      <c r="M12" s="54">
        <f t="shared" si="12"/>
        <v>745719.70384694333</v>
      </c>
      <c r="N12" s="54">
        <f t="shared" si="12"/>
        <v>732925.71066661645</v>
      </c>
      <c r="O12" s="54">
        <f t="shared" si="12"/>
        <v>720095.11845742329</v>
      </c>
      <c r="P12" s="54">
        <f t="shared" si="12"/>
        <v>707236.33020185656</v>
      </c>
      <c r="Q12" s="54">
        <f t="shared" si="12"/>
        <v>694357.38281843183</v>
      </c>
      <c r="R12" s="54">
        <f t="shared" si="12"/>
        <v>681465.95952999312</v>
      </c>
      <c r="S12" t="s">
        <v>31</v>
      </c>
      <c r="T12" t="s">
        <v>117</v>
      </c>
    </row>
    <row r="13" spans="1:21" x14ac:dyDescent="0.2">
      <c r="A13" t="s">
        <v>11</v>
      </c>
      <c r="B13" s="4">
        <f>SUM(B6:B10)</f>
        <v>1414000</v>
      </c>
      <c r="C13" s="4">
        <f>SUM(C6:C10)</f>
        <v>1266090</v>
      </c>
      <c r="D13" s="4">
        <f>SUM(D6:D10)</f>
        <v>1258550</v>
      </c>
      <c r="E13" s="4">
        <f>SUM(E6:E10)</f>
        <v>1275604</v>
      </c>
      <c r="F13" s="7">
        <f>E13/B13-1</f>
        <v>-9.7875530410183931E-2</v>
      </c>
      <c r="G13" s="7"/>
      <c r="H13" s="8">
        <f t="shared" si="5"/>
        <v>-8.1562942008486603E-3</v>
      </c>
      <c r="I13" s="4">
        <f t="shared" ref="I13:R13" si="13">I3*I4</f>
        <v>1236348.0889580313</v>
      </c>
      <c r="J13" s="4">
        <f t="shared" si="13"/>
        <v>1223792.2978057358</v>
      </c>
      <c r="K13" s="4">
        <f t="shared" si="13"/>
        <v>1211162.3739501841</v>
      </c>
      <c r="L13" s="4">
        <f t="shared" si="13"/>
        <v>1198468.316197939</v>
      </c>
      <c r="M13" s="4">
        <f t="shared" si="13"/>
        <v>1185719.7038469433</v>
      </c>
      <c r="N13" s="4">
        <f t="shared" si="13"/>
        <v>1172925.7106666164</v>
      </c>
      <c r="O13" s="4">
        <f t="shared" si="13"/>
        <v>1160095.1184574233</v>
      </c>
      <c r="P13" s="4">
        <f t="shared" si="13"/>
        <v>1147236.3302018566</v>
      </c>
      <c r="Q13" s="4">
        <f t="shared" si="13"/>
        <v>1134357.3828184318</v>
      </c>
      <c r="R13" s="4">
        <f t="shared" si="13"/>
        <v>1121465.9595299931</v>
      </c>
      <c r="S13" s="13">
        <f>SUM(I13:R13)</f>
        <v>11791571.282433156</v>
      </c>
      <c r="T13" t="s">
        <v>120</v>
      </c>
    </row>
    <row r="14" spans="1:21" s="21" customFormat="1" ht="17" customHeight="1" x14ac:dyDescent="0.2">
      <c r="A14" s="16" t="s">
        <v>13</v>
      </c>
      <c r="B14" s="17"/>
      <c r="C14" s="17"/>
      <c r="D14" s="17"/>
      <c r="E14" s="17"/>
      <c r="F14" s="18"/>
      <c r="G14" s="18"/>
      <c r="H14" s="19"/>
      <c r="I14" s="20"/>
      <c r="J14" s="20"/>
      <c r="K14" s="20"/>
      <c r="L14" s="20"/>
      <c r="M14" s="20"/>
      <c r="N14" s="20"/>
      <c r="O14" s="20"/>
      <c r="P14" s="20"/>
      <c r="Q14" s="20"/>
      <c r="R14" s="20"/>
    </row>
    <row r="15" spans="1:21" x14ac:dyDescent="0.2">
      <c r="A15" s="10" t="s">
        <v>8</v>
      </c>
      <c r="B15" s="4"/>
      <c r="C15" s="4"/>
      <c r="D15" s="4"/>
      <c r="E15" s="4"/>
      <c r="F15" s="7"/>
      <c r="G15" s="7"/>
      <c r="H15" s="8"/>
      <c r="I15" s="11">
        <f>I6</f>
        <v>580901.50889749289</v>
      </c>
      <c r="J15" s="11">
        <f t="shared" ref="J15:R15" si="14">750000-J18</f>
        <v>584778.33833038015</v>
      </c>
      <c r="K15" s="11">
        <f t="shared" si="14"/>
        <v>588566.28579658805</v>
      </c>
      <c r="L15" s="11">
        <f t="shared" si="14"/>
        <v>592267.38904478145</v>
      </c>
      <c r="M15" s="11">
        <f t="shared" si="14"/>
        <v>595883.63910526631</v>
      </c>
      <c r="N15" s="11">
        <f t="shared" si="14"/>
        <v>599416.98136107624</v>
      </c>
      <c r="O15" s="11">
        <f t="shared" si="14"/>
        <v>602869.31659450242</v>
      </c>
      <c r="P15" s="11">
        <f t="shared" si="14"/>
        <v>606242.50200963113</v>
      </c>
      <c r="Q15" s="11">
        <f t="shared" si="14"/>
        <v>609538.35223143722</v>
      </c>
      <c r="R15" s="11">
        <f t="shared" si="14"/>
        <v>612758.64028197282</v>
      </c>
    </row>
    <row r="16" spans="1:21" x14ac:dyDescent="0.2">
      <c r="A16" s="10" t="s">
        <v>89</v>
      </c>
      <c r="B16" s="4"/>
      <c r="C16" s="4"/>
      <c r="D16" s="4"/>
      <c r="E16" s="4"/>
      <c r="F16" s="7"/>
      <c r="G16" s="7"/>
      <c r="H16" s="8"/>
      <c r="I16" s="54">
        <v>250000</v>
      </c>
      <c r="J16" s="12"/>
      <c r="K16" s="12"/>
      <c r="L16" s="12"/>
      <c r="M16" s="12"/>
      <c r="N16" s="12"/>
      <c r="O16" s="12"/>
      <c r="P16" s="12"/>
      <c r="Q16" s="12"/>
      <c r="R16" s="12"/>
    </row>
    <row r="17" spans="1:20" x14ac:dyDescent="0.2">
      <c r="A17" s="10" t="s">
        <v>9</v>
      </c>
      <c r="B17" s="4"/>
      <c r="C17" s="4"/>
      <c r="D17" s="4"/>
      <c r="E17" s="4"/>
      <c r="F17" s="7"/>
      <c r="G17" s="7"/>
      <c r="H17" s="8"/>
      <c r="I17" s="58">
        <f>I8</f>
        <v>46348.088958031265</v>
      </c>
      <c r="J17" s="58">
        <f>J22-J15-J19</f>
        <v>449013.95947535569</v>
      </c>
      <c r="K17" s="58">
        <f t="shared" ref="K17:R17" si="15">K22-K15-K19</f>
        <v>432596.08815359604</v>
      </c>
      <c r="L17" s="58">
        <f t="shared" si="15"/>
        <v>416200.92715315754</v>
      </c>
      <c r="M17" s="58">
        <f t="shared" si="15"/>
        <v>399836.06474167702</v>
      </c>
      <c r="N17" s="58">
        <f t="shared" si="15"/>
        <v>383508.72930554021</v>
      </c>
      <c r="O17" s="58">
        <f t="shared" si="15"/>
        <v>367225.80186292087</v>
      </c>
      <c r="P17" s="58">
        <f t="shared" si="15"/>
        <v>350993.82819222542</v>
      </c>
      <c r="Q17" s="58">
        <f t="shared" si="15"/>
        <v>334819.0305869946</v>
      </c>
      <c r="R17" s="58">
        <f t="shared" si="15"/>
        <v>318707.3192480203</v>
      </c>
    </row>
    <row r="18" spans="1:20" x14ac:dyDescent="0.2">
      <c r="A18" s="14" t="s">
        <v>111</v>
      </c>
      <c r="B18" s="49"/>
      <c r="C18" s="49"/>
      <c r="D18" s="49"/>
      <c r="E18" s="4"/>
      <c r="F18" s="50"/>
      <c r="G18" s="50"/>
      <c r="H18" s="51"/>
      <c r="I18" s="13">
        <f>I9</f>
        <v>169098.49110250713</v>
      </c>
      <c r="J18" s="13">
        <f t="shared" ref="J18:R18" si="16">J9</f>
        <v>165221.66166961991</v>
      </c>
      <c r="K18" s="13">
        <f t="shared" si="16"/>
        <v>161433.714203412</v>
      </c>
      <c r="L18" s="13">
        <f t="shared" si="16"/>
        <v>157732.61095521858</v>
      </c>
      <c r="M18" s="13">
        <f t="shared" si="16"/>
        <v>154116.36089473369</v>
      </c>
      <c r="N18" s="13">
        <f t="shared" si="16"/>
        <v>150583.01863892382</v>
      </c>
      <c r="O18" s="13">
        <f t="shared" si="16"/>
        <v>147130.68340549764</v>
      </c>
      <c r="P18" s="13">
        <f t="shared" si="16"/>
        <v>143757.49799036892</v>
      </c>
      <c r="Q18" s="13">
        <f t="shared" si="16"/>
        <v>140461.64776856275</v>
      </c>
      <c r="R18" s="13">
        <f t="shared" si="16"/>
        <v>137241.35971802715</v>
      </c>
      <c r="T18" s="55" t="s">
        <v>118</v>
      </c>
    </row>
    <row r="19" spans="1:20" ht="17" customHeight="1" x14ac:dyDescent="0.2">
      <c r="A19" s="14" t="s">
        <v>10</v>
      </c>
      <c r="B19" s="4"/>
      <c r="C19" s="4"/>
      <c r="D19" s="4"/>
      <c r="E19" s="4"/>
      <c r="F19" s="7"/>
      <c r="G19" s="7"/>
      <c r="H19" s="8"/>
      <c r="I19" s="54">
        <f>I10</f>
        <v>190000</v>
      </c>
      <c r="J19" s="54">
        <f>I19</f>
        <v>190000</v>
      </c>
      <c r="K19" s="54">
        <f t="shared" ref="K19:R19" si="17">J19</f>
        <v>190000</v>
      </c>
      <c r="L19" s="54">
        <f t="shared" si="17"/>
        <v>190000</v>
      </c>
      <c r="M19" s="54">
        <f t="shared" si="17"/>
        <v>190000</v>
      </c>
      <c r="N19" s="54">
        <f t="shared" si="17"/>
        <v>190000</v>
      </c>
      <c r="O19" s="54">
        <f t="shared" si="17"/>
        <v>190000</v>
      </c>
      <c r="P19" s="54">
        <f t="shared" si="17"/>
        <v>190000</v>
      </c>
      <c r="Q19" s="54">
        <f t="shared" si="17"/>
        <v>190000</v>
      </c>
      <c r="R19" s="54">
        <f t="shared" si="17"/>
        <v>190000</v>
      </c>
      <c r="T19" t="s">
        <v>117</v>
      </c>
    </row>
    <row r="20" spans="1:20" ht="17" customHeight="1" x14ac:dyDescent="0.2">
      <c r="A20" t="s">
        <v>115</v>
      </c>
      <c r="B20" s="49"/>
      <c r="C20" s="49"/>
      <c r="D20" s="49"/>
      <c r="E20" s="49"/>
      <c r="F20" s="50"/>
      <c r="G20" s="50"/>
      <c r="H20" s="51"/>
      <c r="I20" s="11">
        <f>SUM(I15:I19)</f>
        <v>1236348.0889580313</v>
      </c>
      <c r="J20" s="11">
        <f t="shared" ref="J20" si="18">SUM(J15:J19)</f>
        <v>1389013.9594753557</v>
      </c>
      <c r="K20" s="11">
        <f t="shared" ref="K20" si="19">SUM(K15:K19)</f>
        <v>1372596.088153596</v>
      </c>
      <c r="L20" s="11">
        <f t="shared" ref="L20" si="20">SUM(L15:L19)</f>
        <v>1356200.9271531575</v>
      </c>
      <c r="M20" s="11">
        <f t="shared" ref="M20" si="21">SUM(M15:M19)</f>
        <v>1339836.0647416771</v>
      </c>
      <c r="N20" s="11">
        <f t="shared" ref="N20" si="22">SUM(N15:N19)</f>
        <v>1323508.7293055402</v>
      </c>
      <c r="O20" s="11">
        <f t="shared" ref="O20" si="23">SUM(O15:O19)</f>
        <v>1307225.8018629209</v>
      </c>
      <c r="P20" s="11">
        <f t="shared" ref="P20" si="24">SUM(P15:P19)</f>
        <v>1290993.8281922254</v>
      </c>
      <c r="Q20" s="11">
        <f t="shared" ref="Q20" si="25">SUM(Q15:Q19)</f>
        <v>1274819.0305869945</v>
      </c>
      <c r="R20" s="11">
        <f t="shared" ref="R20" si="26">SUM(R15:R19)</f>
        <v>1258707.3192480202</v>
      </c>
    </row>
    <row r="21" spans="1:20" ht="17" customHeight="1" x14ac:dyDescent="0.2">
      <c r="A21" t="s">
        <v>116</v>
      </c>
      <c r="B21" s="49"/>
      <c r="C21" s="49"/>
      <c r="D21" s="49"/>
      <c r="E21" s="49">
        <f>E18+E15</f>
        <v>0</v>
      </c>
      <c r="F21" s="50"/>
      <c r="G21" s="50"/>
      <c r="H21" s="51"/>
      <c r="I21" s="54">
        <f>I18+I15</f>
        <v>750000</v>
      </c>
      <c r="J21" s="54">
        <f>I21</f>
        <v>750000</v>
      </c>
      <c r="K21" s="54">
        <f>J21</f>
        <v>750000</v>
      </c>
      <c r="L21" s="54">
        <f t="shared" ref="L21:R21" si="27">L18+L15</f>
        <v>750000</v>
      </c>
      <c r="M21" s="54">
        <f t="shared" si="27"/>
        <v>750000</v>
      </c>
      <c r="N21" s="54">
        <f t="shared" si="27"/>
        <v>750000</v>
      </c>
      <c r="O21" s="54">
        <f t="shared" si="27"/>
        <v>750000</v>
      </c>
      <c r="P21" s="54">
        <f t="shared" si="27"/>
        <v>750000</v>
      </c>
      <c r="Q21" s="54">
        <f t="shared" si="27"/>
        <v>750000</v>
      </c>
      <c r="R21" s="54">
        <f t="shared" si="27"/>
        <v>750000</v>
      </c>
      <c r="S21" t="s">
        <v>31</v>
      </c>
      <c r="T21" t="s">
        <v>117</v>
      </c>
    </row>
    <row r="22" spans="1:20" x14ac:dyDescent="0.2">
      <c r="A22" t="s">
        <v>11</v>
      </c>
      <c r="B22" s="4"/>
      <c r="C22" s="4"/>
      <c r="D22" s="4"/>
      <c r="E22" s="4"/>
      <c r="F22" s="7"/>
      <c r="G22" s="7"/>
      <c r="H22" s="8"/>
      <c r="I22" s="4">
        <f>I13</f>
        <v>1236348.0889580313</v>
      </c>
      <c r="J22" s="4">
        <f t="shared" ref="J22:R22" si="28">J4*J3</f>
        <v>1223792.2978057358</v>
      </c>
      <c r="K22" s="4">
        <f t="shared" si="28"/>
        <v>1211162.3739501841</v>
      </c>
      <c r="L22" s="4">
        <f t="shared" si="28"/>
        <v>1198468.316197939</v>
      </c>
      <c r="M22" s="56">
        <f t="shared" si="28"/>
        <v>1185719.7038469433</v>
      </c>
      <c r="N22" s="56">
        <f t="shared" si="28"/>
        <v>1172925.7106666164</v>
      </c>
      <c r="O22" s="56">
        <f t="shared" si="28"/>
        <v>1160095.1184574233</v>
      </c>
      <c r="P22" s="56">
        <f t="shared" si="28"/>
        <v>1147236.3302018566</v>
      </c>
      <c r="Q22" s="56">
        <f t="shared" si="28"/>
        <v>1134357.3828184318</v>
      </c>
      <c r="R22" s="56">
        <f t="shared" si="28"/>
        <v>1121465.9595299931</v>
      </c>
      <c r="S22" s="13">
        <f>SUM(I22:R22)</f>
        <v>11791571.282433156</v>
      </c>
      <c r="T22" t="s">
        <v>121</v>
      </c>
    </row>
    <row r="23" spans="1:20" s="21" customFormat="1" ht="17" customHeight="1" x14ac:dyDescent="0.2">
      <c r="A23" s="16" t="s">
        <v>15</v>
      </c>
      <c r="B23" s="17"/>
      <c r="C23" s="17"/>
      <c r="D23" s="17"/>
      <c r="E23" s="17"/>
      <c r="F23" s="18"/>
      <c r="G23" s="18"/>
      <c r="H23" s="19"/>
      <c r="I23" s="20"/>
      <c r="J23" s="20"/>
      <c r="K23" s="20"/>
      <c r="L23" s="20"/>
      <c r="M23" s="11"/>
      <c r="N23" s="11"/>
      <c r="O23" s="11"/>
      <c r="P23" s="11"/>
      <c r="Q23" s="11"/>
      <c r="R23" s="11"/>
    </row>
    <row r="24" spans="1:20" ht="18" customHeight="1" x14ac:dyDescent="0.2">
      <c r="A24" t="s">
        <v>7</v>
      </c>
      <c r="B24" s="6"/>
      <c r="C24" s="6"/>
      <c r="D24" s="6"/>
      <c r="E24" s="6"/>
      <c r="F24" s="7"/>
      <c r="G24" s="7"/>
      <c r="H24" s="35">
        <f>H134</f>
        <v>-0.05</v>
      </c>
      <c r="I24" s="9">
        <f>I4</f>
        <v>0.38023006328864567</v>
      </c>
      <c r="J24" s="9">
        <f>I24*(1+$H$24)</f>
        <v>0.36121856012421338</v>
      </c>
      <c r="K24" s="9">
        <f t="shared" ref="K24:R24" si="29">J24*(1+$H$24)</f>
        <v>0.34315763211800271</v>
      </c>
      <c r="L24" s="9">
        <f t="shared" si="29"/>
        <v>0.32599975051210256</v>
      </c>
      <c r="M24" s="9">
        <f t="shared" si="29"/>
        <v>0.30969976298649743</v>
      </c>
      <c r="N24" s="9">
        <f t="shared" si="29"/>
        <v>0.29421477483717257</v>
      </c>
      <c r="O24" s="9">
        <f t="shared" si="29"/>
        <v>0.27950403609531393</v>
      </c>
      <c r="P24" s="9">
        <f t="shared" si="29"/>
        <v>0.26552883429054824</v>
      </c>
      <c r="Q24" s="9">
        <f t="shared" si="29"/>
        <v>0.25225239257602083</v>
      </c>
      <c r="R24" s="9">
        <f t="shared" si="29"/>
        <v>0.23963977294721978</v>
      </c>
    </row>
    <row r="25" spans="1:20" x14ac:dyDescent="0.2">
      <c r="A25" s="10" t="s">
        <v>8</v>
      </c>
      <c r="B25" s="4"/>
      <c r="C25" s="4"/>
      <c r="D25" s="4"/>
      <c r="E25" s="4"/>
      <c r="F25" s="7"/>
      <c r="G25" s="7"/>
      <c r="H25" s="8"/>
      <c r="I25" s="11">
        <f>I6</f>
        <v>580901.50889749289</v>
      </c>
      <c r="J25" s="11">
        <f>750000-J28</f>
        <v>589356.43345261819</v>
      </c>
      <c r="K25" s="11">
        <f t="shared" ref="K25:P25" si="30">750000-K28</f>
        <v>597388.61177998735</v>
      </c>
      <c r="L25" s="11">
        <f t="shared" si="30"/>
        <v>605019.18119098793</v>
      </c>
      <c r="M25" s="11">
        <f t="shared" si="30"/>
        <v>612268.22213143855</v>
      </c>
      <c r="N25" s="11">
        <f t="shared" si="30"/>
        <v>619154.81102486665</v>
      </c>
      <c r="O25" s="11">
        <f t="shared" si="30"/>
        <v>625697.07047362335</v>
      </c>
      <c r="P25" s="11">
        <f t="shared" si="30"/>
        <v>631912.21694994217</v>
      </c>
      <c r="Q25" s="11">
        <f>Q32-Q28-Q29</f>
        <v>603801.00197823741</v>
      </c>
      <c r="R25" s="11">
        <f>R32-R28-R29</f>
        <v>574295.6422295823</v>
      </c>
    </row>
    <row r="26" spans="1:20" x14ac:dyDescent="0.2">
      <c r="A26" s="10" t="s">
        <v>89</v>
      </c>
      <c r="B26" s="4"/>
      <c r="C26" s="4"/>
      <c r="D26" s="4"/>
      <c r="E26" s="4"/>
      <c r="F26" s="7"/>
      <c r="G26" s="7"/>
      <c r="H26" s="8"/>
      <c r="I26" s="54">
        <v>250000</v>
      </c>
      <c r="J26" s="12"/>
      <c r="K26" s="12"/>
      <c r="L26" s="12"/>
      <c r="M26" s="12"/>
      <c r="N26" s="12"/>
      <c r="O26" s="12"/>
      <c r="P26" s="12"/>
      <c r="Q26" s="12"/>
      <c r="R26" s="12"/>
    </row>
    <row r="27" spans="1:20" x14ac:dyDescent="0.2">
      <c r="A27" s="10" t="s">
        <v>9</v>
      </c>
      <c r="B27" s="4"/>
      <c r="C27" s="4"/>
      <c r="D27" s="4"/>
      <c r="E27" s="4"/>
      <c r="F27" s="7"/>
      <c r="G27" s="7"/>
      <c r="H27" s="8"/>
      <c r="I27" s="58">
        <f>I8</f>
        <v>46348.088958031265</v>
      </c>
      <c r="J27" s="58">
        <f>J32-J25-J28-J29</f>
        <v>249882.47331540869</v>
      </c>
      <c r="K27" s="58">
        <f t="shared" ref="K27:P27" si="31">K32-K25-K28-K29</f>
        <v>204972.54901465331</v>
      </c>
      <c r="L27" s="58">
        <f t="shared" si="31"/>
        <v>161578.910960685</v>
      </c>
      <c r="M27" s="58">
        <f t="shared" si="31"/>
        <v>119662.20533957682</v>
      </c>
      <c r="N27" s="58">
        <f t="shared" si="31"/>
        <v>79183.223003177904</v>
      </c>
      <c r="O27" s="58">
        <f t="shared" si="31"/>
        <v>40102.983387069893</v>
      </c>
      <c r="P27" s="58">
        <f t="shared" si="31"/>
        <v>2382.8096750646364</v>
      </c>
      <c r="Q27" s="58"/>
      <c r="R27" s="58"/>
    </row>
    <row r="28" spans="1:20" x14ac:dyDescent="0.2">
      <c r="A28" s="14" t="s">
        <v>111</v>
      </c>
      <c r="B28" s="49"/>
      <c r="C28" s="49"/>
      <c r="D28" s="49"/>
      <c r="E28" s="4"/>
      <c r="F28" s="50"/>
      <c r="G28" s="50"/>
      <c r="H28" s="51"/>
      <c r="I28" s="13">
        <f>I9</f>
        <v>169098.49110250713</v>
      </c>
      <c r="J28" s="11">
        <f>I28*(1+$H$24)</f>
        <v>160643.56654738178</v>
      </c>
      <c r="K28" s="11">
        <f t="shared" ref="K28:R28" si="32">J28*(1+$H$24)</f>
        <v>152611.38822001268</v>
      </c>
      <c r="L28" s="11">
        <f t="shared" si="32"/>
        <v>144980.81880901204</v>
      </c>
      <c r="M28" s="11">
        <f t="shared" si="32"/>
        <v>137731.77786856142</v>
      </c>
      <c r="N28" s="11">
        <f t="shared" si="32"/>
        <v>130845.18897513334</v>
      </c>
      <c r="O28" s="11">
        <f t="shared" si="32"/>
        <v>124302.92952637667</v>
      </c>
      <c r="P28" s="11">
        <f t="shared" si="32"/>
        <v>118087.78305005783</v>
      </c>
      <c r="Q28" s="11">
        <f t="shared" si="32"/>
        <v>112183.39389755492</v>
      </c>
      <c r="R28" s="11">
        <f t="shared" si="32"/>
        <v>106574.22420267717</v>
      </c>
      <c r="T28" s="55" t="s">
        <v>118</v>
      </c>
    </row>
    <row r="29" spans="1:20" x14ac:dyDescent="0.2">
      <c r="A29" s="14" t="s">
        <v>10</v>
      </c>
      <c r="B29" s="4"/>
      <c r="C29" s="4"/>
      <c r="D29" s="4"/>
      <c r="E29" s="4"/>
      <c r="F29" s="7"/>
      <c r="G29" s="7"/>
      <c r="H29" s="8"/>
      <c r="I29" s="54">
        <f>I10</f>
        <v>190000</v>
      </c>
      <c r="J29" s="54">
        <f>I29</f>
        <v>190000</v>
      </c>
      <c r="K29" s="54">
        <f t="shared" ref="K29:R29" si="33">J29</f>
        <v>190000</v>
      </c>
      <c r="L29" s="54">
        <f t="shared" si="33"/>
        <v>190000</v>
      </c>
      <c r="M29" s="54">
        <f t="shared" si="33"/>
        <v>190000</v>
      </c>
      <c r="N29" s="54">
        <f t="shared" si="33"/>
        <v>190000</v>
      </c>
      <c r="O29" s="54">
        <f t="shared" si="33"/>
        <v>190000</v>
      </c>
      <c r="P29" s="54">
        <f t="shared" si="33"/>
        <v>190000</v>
      </c>
      <c r="Q29" s="54">
        <f t="shared" si="33"/>
        <v>190000</v>
      </c>
      <c r="R29" s="54">
        <f t="shared" si="33"/>
        <v>190000</v>
      </c>
      <c r="T29" t="s">
        <v>117</v>
      </c>
    </row>
    <row r="30" spans="1:20" ht="17" customHeight="1" x14ac:dyDescent="0.2">
      <c r="A30" t="s">
        <v>115</v>
      </c>
      <c r="B30" s="49"/>
      <c r="C30" s="49"/>
      <c r="D30" s="49"/>
      <c r="E30" s="49"/>
      <c r="F30" s="50"/>
      <c r="G30" s="50"/>
      <c r="H30" s="51"/>
      <c r="I30" s="11">
        <f>SUM(I25:I29)</f>
        <v>1236348.0889580313</v>
      </c>
      <c r="J30" s="11">
        <f>SUM(J25:J29)</f>
        <v>1189882.4733154087</v>
      </c>
      <c r="K30" s="11">
        <f>SUM(K25:K29)</f>
        <v>1144972.5490146533</v>
      </c>
      <c r="L30" s="11">
        <f t="shared" ref="L30" si="34">SUM(L25:L29)</f>
        <v>1101578.910960685</v>
      </c>
      <c r="M30" s="11">
        <f>SUM(M25:M29)</f>
        <v>1059662.2053395768</v>
      </c>
      <c r="N30" s="11">
        <f t="shared" ref="N30" si="35">SUM(N25:N29)</f>
        <v>1019183.2230031779</v>
      </c>
      <c r="O30" s="11">
        <f t="shared" ref="O30" si="36">SUM(O25:O29)</f>
        <v>980102.98338706989</v>
      </c>
      <c r="P30" s="11">
        <f t="shared" ref="P30" si="37">SUM(P25:P29)</f>
        <v>942382.80967506464</v>
      </c>
      <c r="Q30" s="11">
        <f t="shared" ref="Q30" si="38">SUM(Q25:Q29)</f>
        <v>905984.39587579237</v>
      </c>
      <c r="R30" s="11">
        <f t="shared" ref="R30" si="39">SUM(R25:R29)</f>
        <v>870869.86643225944</v>
      </c>
    </row>
    <row r="31" spans="1:20" ht="17" customHeight="1" x14ac:dyDescent="0.2">
      <c r="A31" t="s">
        <v>116</v>
      </c>
      <c r="B31" s="49"/>
      <c r="C31" s="49"/>
      <c r="D31" s="49"/>
      <c r="E31" s="49">
        <f>E28+E25</f>
        <v>0</v>
      </c>
      <c r="F31" s="50"/>
      <c r="G31" s="50"/>
      <c r="H31" s="51"/>
      <c r="I31" s="54">
        <f>I28+I25</f>
        <v>750000</v>
      </c>
      <c r="J31" s="54">
        <f>I31</f>
        <v>750000</v>
      </c>
      <c r="K31" s="54">
        <f>J31</f>
        <v>750000</v>
      </c>
      <c r="L31" s="54">
        <f t="shared" ref="L31:R31" si="40">L28+L25</f>
        <v>750000</v>
      </c>
      <c r="M31" s="54">
        <f t="shared" si="40"/>
        <v>750000</v>
      </c>
      <c r="N31" s="54">
        <f t="shared" si="40"/>
        <v>750000</v>
      </c>
      <c r="O31" s="54">
        <f t="shared" si="40"/>
        <v>750000</v>
      </c>
      <c r="P31" s="54">
        <f t="shared" si="40"/>
        <v>750000</v>
      </c>
      <c r="Q31" s="54">
        <f t="shared" si="40"/>
        <v>715984.39587579237</v>
      </c>
      <c r="R31" s="54">
        <f t="shared" si="40"/>
        <v>680869.86643225944</v>
      </c>
      <c r="S31" t="s">
        <v>31</v>
      </c>
      <c r="T31" t="s">
        <v>117</v>
      </c>
    </row>
    <row r="32" spans="1:20" x14ac:dyDescent="0.2">
      <c r="A32" t="s">
        <v>11</v>
      </c>
      <c r="B32" s="4"/>
      <c r="C32" s="4"/>
      <c r="D32" s="4"/>
      <c r="E32" s="4"/>
      <c r="F32" s="7"/>
      <c r="G32" s="7"/>
      <c r="H32" s="8"/>
      <c r="I32" s="4">
        <f>I13</f>
        <v>1236348.0889580313</v>
      </c>
      <c r="J32" s="4">
        <f t="shared" ref="J32:R32" si="41">J24*J3</f>
        <v>1189882.4733154087</v>
      </c>
      <c r="K32" s="4">
        <f t="shared" si="41"/>
        <v>1144972.5490146533</v>
      </c>
      <c r="L32" s="4">
        <f t="shared" si="41"/>
        <v>1101578.910960685</v>
      </c>
      <c r="M32" s="4">
        <f t="shared" si="41"/>
        <v>1059662.2053395768</v>
      </c>
      <c r="N32" s="4">
        <f t="shared" si="41"/>
        <v>1019183.2230031779</v>
      </c>
      <c r="O32" s="4">
        <f t="shared" si="41"/>
        <v>980102.98338706989</v>
      </c>
      <c r="P32" s="4">
        <f t="shared" si="41"/>
        <v>942382.80967506464</v>
      </c>
      <c r="Q32" s="4">
        <f t="shared" si="41"/>
        <v>905984.39587579237</v>
      </c>
      <c r="R32" s="4">
        <f t="shared" si="41"/>
        <v>870869.86643225944</v>
      </c>
      <c r="S32" s="13">
        <f>SUM(I32:R32)</f>
        <v>10450967.50596172</v>
      </c>
    </row>
    <row r="33" spans="1:21" x14ac:dyDescent="0.2">
      <c r="A33" t="s">
        <v>14</v>
      </c>
      <c r="M33" s="46"/>
      <c r="N33" s="46"/>
      <c r="O33" s="46"/>
      <c r="P33" s="46"/>
      <c r="Q33" s="46"/>
      <c r="R33" s="46"/>
      <c r="T33" t="s">
        <v>121</v>
      </c>
    </row>
    <row r="34" spans="1:21" s="21" customFormat="1" ht="17" customHeight="1" x14ac:dyDescent="0.2">
      <c r="A34" s="16" t="s">
        <v>101</v>
      </c>
      <c r="B34" s="17"/>
      <c r="C34" s="17"/>
      <c r="D34" s="17"/>
      <c r="E34" s="17"/>
      <c r="F34" s="18"/>
      <c r="G34" s="18"/>
      <c r="H34" s="19"/>
      <c r="I34" s="20"/>
      <c r="J34" s="20"/>
      <c r="K34" s="20"/>
      <c r="L34" s="20"/>
      <c r="M34" s="11"/>
      <c r="N34" s="11"/>
      <c r="O34" s="11"/>
      <c r="P34" s="11"/>
      <c r="Q34" s="11"/>
      <c r="R34" s="11"/>
    </row>
    <row r="35" spans="1:21" ht="18" customHeight="1" x14ac:dyDescent="0.2">
      <c r="A35" t="s">
        <v>7</v>
      </c>
      <c r="B35" s="6"/>
      <c r="C35" s="6"/>
      <c r="D35" s="6"/>
      <c r="E35" s="6"/>
      <c r="F35" s="7"/>
      <c r="G35" s="7"/>
      <c r="H35" s="35">
        <f>H24</f>
        <v>-0.05</v>
      </c>
      <c r="I35" s="9">
        <f>I24</f>
        <v>0.38023006328864567</v>
      </c>
      <c r="J35" s="9">
        <f>I35*(1+$H$24)</f>
        <v>0.36121856012421338</v>
      </c>
      <c r="K35" s="9">
        <f t="shared" ref="K35" si="42">J35*(1+$H$24)</f>
        <v>0.34315763211800271</v>
      </c>
      <c r="L35" s="9">
        <f t="shared" ref="L35" si="43">K35*(1+$H$24)</f>
        <v>0.32599975051210256</v>
      </c>
      <c r="M35" s="9">
        <f t="shared" ref="M35" si="44">L35*(1+$H$24)</f>
        <v>0.30969976298649743</v>
      </c>
      <c r="N35" s="9">
        <f t="shared" ref="N35" si="45">M35*(1+$H$24)</f>
        <v>0.29421477483717257</v>
      </c>
      <c r="O35" s="9">
        <f t="shared" ref="O35" si="46">N35*(1+$H$24)</f>
        <v>0.27950403609531393</v>
      </c>
      <c r="P35" s="9">
        <f t="shared" ref="P35" si="47">O35*(1+$H$24)</f>
        <v>0.26552883429054824</v>
      </c>
      <c r="Q35" s="9">
        <f t="shared" ref="Q35" si="48">P35*(1+$H$24)</f>
        <v>0.25225239257602083</v>
      </c>
      <c r="R35" s="9">
        <f t="shared" ref="R35" si="49">Q35*(1+$H$24)</f>
        <v>0.23963977294721978</v>
      </c>
    </row>
    <row r="36" spans="1:21" x14ac:dyDescent="0.2">
      <c r="A36" s="10" t="s">
        <v>8</v>
      </c>
      <c r="B36" s="4"/>
      <c r="C36" s="4"/>
      <c r="D36" s="4"/>
      <c r="E36" s="4"/>
      <c r="F36" s="7"/>
      <c r="G36" s="7"/>
      <c r="H36" s="8"/>
      <c r="I36" s="11">
        <f>I6</f>
        <v>580901.50889749289</v>
      </c>
      <c r="J36" s="11">
        <f>J43-J37-J39-J40</f>
        <v>589238.90676802688</v>
      </c>
      <c r="K36" s="11">
        <f t="shared" ref="K36:R36" si="50">K43-K37-K39-K40</f>
        <v>552361.16079464066</v>
      </c>
      <c r="L36" s="11">
        <f t="shared" si="50"/>
        <v>516598.09215167293</v>
      </c>
      <c r="M36" s="11">
        <f t="shared" si="50"/>
        <v>481930.42747101537</v>
      </c>
      <c r="N36" s="11">
        <f t="shared" si="50"/>
        <v>448338.03402804455</v>
      </c>
      <c r="O36" s="11">
        <f t="shared" si="50"/>
        <v>415800.05386069324</v>
      </c>
      <c r="P36" s="11">
        <f t="shared" si="50"/>
        <v>384295.02662500681</v>
      </c>
      <c r="Q36" s="11">
        <f t="shared" si="50"/>
        <v>353801.00197823741</v>
      </c>
      <c r="R36" s="11">
        <f t="shared" si="50"/>
        <v>324295.6422295823</v>
      </c>
      <c r="S36" t="s">
        <v>88</v>
      </c>
    </row>
    <row r="37" spans="1:21" x14ac:dyDescent="0.2">
      <c r="A37" s="10" t="s">
        <v>89</v>
      </c>
      <c r="B37" s="4"/>
      <c r="C37" s="4"/>
      <c r="D37" s="4"/>
      <c r="E37" s="4"/>
      <c r="F37" s="7"/>
      <c r="G37" s="7"/>
      <c r="H37" s="8"/>
      <c r="I37" s="54">
        <v>250000</v>
      </c>
      <c r="J37" s="54">
        <f>I37</f>
        <v>250000</v>
      </c>
      <c r="K37" s="54">
        <f t="shared" ref="K37" si="51">J37</f>
        <v>250000</v>
      </c>
      <c r="L37" s="54">
        <f t="shared" ref="L37" si="52">K37</f>
        <v>250000</v>
      </c>
      <c r="M37" s="54">
        <f t="shared" ref="M37:R37" si="53">L37</f>
        <v>250000</v>
      </c>
      <c r="N37" s="54">
        <f t="shared" si="53"/>
        <v>250000</v>
      </c>
      <c r="O37" s="54">
        <f t="shared" si="53"/>
        <v>250000</v>
      </c>
      <c r="P37" s="54">
        <f t="shared" si="53"/>
        <v>250000</v>
      </c>
      <c r="Q37" s="54">
        <f t="shared" si="53"/>
        <v>250000</v>
      </c>
      <c r="R37" s="54">
        <f t="shared" si="53"/>
        <v>250000</v>
      </c>
      <c r="S37" t="s">
        <v>31</v>
      </c>
    </row>
    <row r="38" spans="1:21" x14ac:dyDescent="0.2">
      <c r="A38" s="10" t="s">
        <v>9</v>
      </c>
      <c r="B38" s="4"/>
      <c r="C38" s="4"/>
      <c r="D38" s="4"/>
      <c r="E38" s="4"/>
      <c r="F38" s="7"/>
      <c r="G38" s="7"/>
      <c r="H38" s="8"/>
      <c r="I38" s="58">
        <f>I8</f>
        <v>46348.088958031265</v>
      </c>
      <c r="J38" s="58"/>
      <c r="K38" s="58"/>
      <c r="L38" s="58"/>
      <c r="M38" s="58"/>
      <c r="N38" s="58"/>
      <c r="O38" s="58"/>
      <c r="P38" s="58"/>
      <c r="Q38" s="58"/>
      <c r="R38" s="58"/>
    </row>
    <row r="39" spans="1:21" x14ac:dyDescent="0.2">
      <c r="A39" s="14" t="s">
        <v>111</v>
      </c>
      <c r="B39" s="49"/>
      <c r="C39" s="49"/>
      <c r="D39" s="49"/>
      <c r="E39" s="4"/>
      <c r="F39" s="50"/>
      <c r="G39" s="50"/>
      <c r="H39" s="51"/>
      <c r="I39" s="13">
        <f>I9</f>
        <v>169098.49110250713</v>
      </c>
      <c r="J39" s="13">
        <f>J28</f>
        <v>160643.56654738178</v>
      </c>
      <c r="K39" s="13">
        <f t="shared" ref="K39:R39" si="54">K28</f>
        <v>152611.38822001268</v>
      </c>
      <c r="L39" s="13">
        <f t="shared" si="54"/>
        <v>144980.81880901204</v>
      </c>
      <c r="M39" s="13">
        <f t="shared" si="54"/>
        <v>137731.77786856142</v>
      </c>
      <c r="N39" s="13">
        <f t="shared" si="54"/>
        <v>130845.18897513334</v>
      </c>
      <c r="O39" s="13">
        <f t="shared" si="54"/>
        <v>124302.92952637667</v>
      </c>
      <c r="P39" s="13">
        <f t="shared" si="54"/>
        <v>118087.78305005783</v>
      </c>
      <c r="Q39" s="13">
        <f t="shared" si="54"/>
        <v>112183.39389755492</v>
      </c>
      <c r="R39" s="13">
        <f t="shared" si="54"/>
        <v>106574.22420267717</v>
      </c>
      <c r="T39" s="55" t="s">
        <v>118</v>
      </c>
    </row>
    <row r="40" spans="1:21" x14ac:dyDescent="0.2">
      <c r="A40" s="14" t="s">
        <v>10</v>
      </c>
      <c r="B40" s="4"/>
      <c r="C40" s="4"/>
      <c r="D40" s="4"/>
      <c r="E40" s="4"/>
      <c r="F40" s="7"/>
      <c r="G40" s="7"/>
      <c r="H40" s="8"/>
      <c r="I40" s="54">
        <f>I19</f>
        <v>190000</v>
      </c>
      <c r="J40" s="54">
        <f>I40</f>
        <v>190000</v>
      </c>
      <c r="K40" s="54">
        <f t="shared" ref="K40:R40" si="55">J40</f>
        <v>190000</v>
      </c>
      <c r="L40" s="54">
        <f t="shared" si="55"/>
        <v>190000</v>
      </c>
      <c r="M40" s="54">
        <f t="shared" si="55"/>
        <v>190000</v>
      </c>
      <c r="N40" s="54">
        <f t="shared" si="55"/>
        <v>190000</v>
      </c>
      <c r="O40" s="54">
        <f t="shared" si="55"/>
        <v>190000</v>
      </c>
      <c r="P40" s="54">
        <f t="shared" si="55"/>
        <v>190000</v>
      </c>
      <c r="Q40" s="54">
        <f t="shared" si="55"/>
        <v>190000</v>
      </c>
      <c r="R40" s="54">
        <f t="shared" si="55"/>
        <v>190000</v>
      </c>
      <c r="T40" t="s">
        <v>117</v>
      </c>
    </row>
    <row r="41" spans="1:21" ht="17" customHeight="1" x14ac:dyDescent="0.2">
      <c r="A41" t="s">
        <v>115</v>
      </c>
      <c r="B41" s="49"/>
      <c r="C41" s="49"/>
      <c r="D41" s="49"/>
      <c r="E41" s="49"/>
      <c r="F41" s="50"/>
      <c r="G41" s="50"/>
      <c r="H41" s="51"/>
      <c r="I41" s="11">
        <f>SUM(I36:I40)</f>
        <v>1236348.0889580313</v>
      </c>
      <c r="J41" s="11">
        <f t="shared" ref="J41" si="56">SUM(J36:J40)</f>
        <v>1189882.4733154087</v>
      </c>
      <c r="K41" s="11">
        <f t="shared" ref="K41" si="57">SUM(K36:K40)</f>
        <v>1144972.5490146533</v>
      </c>
      <c r="L41" s="11">
        <f t="shared" ref="L41" si="58">SUM(L36:L40)</f>
        <v>1101578.910960685</v>
      </c>
      <c r="M41" s="11">
        <f t="shared" ref="M41" si="59">SUM(M36:M40)</f>
        <v>1059662.2053395768</v>
      </c>
      <c r="N41" s="11">
        <f t="shared" ref="N41" si="60">SUM(N36:N40)</f>
        <v>1019183.2230031779</v>
      </c>
      <c r="O41" s="11">
        <f t="shared" ref="O41" si="61">SUM(O36:O40)</f>
        <v>980102.98338706989</v>
      </c>
      <c r="P41" s="11">
        <f t="shared" ref="P41" si="62">SUM(P36:P40)</f>
        <v>942382.80967506464</v>
      </c>
      <c r="Q41" s="11">
        <f t="shared" ref="Q41" si="63">SUM(Q36:Q40)</f>
        <v>905984.39587579237</v>
      </c>
      <c r="R41" s="11">
        <f t="shared" ref="R41" si="64">SUM(R36:R40)</f>
        <v>870869.86643225944</v>
      </c>
    </row>
    <row r="42" spans="1:21" ht="17" customHeight="1" x14ac:dyDescent="0.2">
      <c r="A42" t="s">
        <v>116</v>
      </c>
      <c r="B42" s="49"/>
      <c r="C42" s="49"/>
      <c r="D42" s="49"/>
      <c r="E42" s="49">
        <f>E39+E36</f>
        <v>0</v>
      </c>
      <c r="F42" s="50"/>
      <c r="G42" s="50"/>
      <c r="H42" s="51"/>
      <c r="I42" s="54">
        <f>I39+I36</f>
        <v>750000</v>
      </c>
      <c r="J42" s="54">
        <f>J36+J39</f>
        <v>749882.47331540869</v>
      </c>
      <c r="K42" s="54">
        <f t="shared" ref="K42:R42" si="65">K36+K39</f>
        <v>704972.54901465331</v>
      </c>
      <c r="L42" s="54">
        <f t="shared" si="65"/>
        <v>661578.910960685</v>
      </c>
      <c r="M42" s="54">
        <f t="shared" si="65"/>
        <v>619662.20533957682</v>
      </c>
      <c r="N42" s="54">
        <f t="shared" si="65"/>
        <v>579183.2230031779</v>
      </c>
      <c r="O42" s="54">
        <f t="shared" si="65"/>
        <v>540102.98338706989</v>
      </c>
      <c r="P42" s="54">
        <f t="shared" si="65"/>
        <v>502382.80967506464</v>
      </c>
      <c r="Q42" s="54">
        <f t="shared" si="65"/>
        <v>465984.39587579237</v>
      </c>
      <c r="R42" s="54">
        <f t="shared" si="65"/>
        <v>430869.86643225944</v>
      </c>
      <c r="T42" t="s">
        <v>117</v>
      </c>
      <c r="U42" t="s">
        <v>122</v>
      </c>
    </row>
    <row r="43" spans="1:21" x14ac:dyDescent="0.2">
      <c r="A43" t="s">
        <v>11</v>
      </c>
      <c r="B43" s="4"/>
      <c r="C43" s="4"/>
      <c r="D43" s="4"/>
      <c r="E43" s="4"/>
      <c r="F43" s="7"/>
      <c r="G43" s="7"/>
      <c r="H43" s="8"/>
      <c r="I43" s="4">
        <f>I32</f>
        <v>1236348.0889580313</v>
      </c>
      <c r="J43" s="4">
        <f t="shared" ref="J43:R43" si="66">J32</f>
        <v>1189882.4733154087</v>
      </c>
      <c r="K43" s="4">
        <f t="shared" si="66"/>
        <v>1144972.5490146533</v>
      </c>
      <c r="L43" s="4">
        <f t="shared" si="66"/>
        <v>1101578.910960685</v>
      </c>
      <c r="M43" s="4">
        <f t="shared" si="66"/>
        <v>1059662.2053395768</v>
      </c>
      <c r="N43" s="4">
        <f t="shared" si="66"/>
        <v>1019183.2230031779</v>
      </c>
      <c r="O43" s="4">
        <f t="shared" si="66"/>
        <v>980102.98338706989</v>
      </c>
      <c r="P43" s="4">
        <f t="shared" si="66"/>
        <v>942382.80967506464</v>
      </c>
      <c r="Q43" s="4">
        <f t="shared" si="66"/>
        <v>905984.39587579237</v>
      </c>
      <c r="R43" s="4">
        <f t="shared" si="66"/>
        <v>870869.86643225944</v>
      </c>
      <c r="S43" s="13">
        <f>SUM(I43:R43)</f>
        <v>10450967.50596172</v>
      </c>
    </row>
    <row r="44" spans="1:21" x14ac:dyDescent="0.2">
      <c r="A44" t="s">
        <v>14</v>
      </c>
      <c r="M44" s="11"/>
      <c r="N44" s="11"/>
      <c r="O44" s="11"/>
      <c r="P44" s="11"/>
      <c r="Q44" s="11"/>
      <c r="R44" s="11"/>
      <c r="T44" t="s">
        <v>120</v>
      </c>
    </row>
    <row r="46" spans="1:21" s="21" customFormat="1" ht="17" customHeight="1" x14ac:dyDescent="0.2">
      <c r="A46" s="16" t="s">
        <v>16</v>
      </c>
      <c r="B46" s="17"/>
      <c r="C46" s="17"/>
      <c r="D46" s="17"/>
      <c r="E46" s="17"/>
      <c r="F46" s="18"/>
      <c r="G46" s="18"/>
      <c r="H46" s="19"/>
      <c r="I46" s="20"/>
      <c r="J46" s="20"/>
      <c r="K46" s="20"/>
      <c r="L46" s="20"/>
      <c r="M46" s="20"/>
      <c r="N46" s="20"/>
      <c r="O46" s="20"/>
      <c r="P46" s="20"/>
      <c r="Q46" s="20"/>
      <c r="R46" s="20"/>
    </row>
    <row r="47" spans="1:21" ht="17" customHeight="1" x14ac:dyDescent="0.2">
      <c r="A47" s="22" t="s">
        <v>17</v>
      </c>
      <c r="B47" s="22"/>
      <c r="C47" s="22"/>
      <c r="D47" s="23"/>
      <c r="E47" s="23"/>
      <c r="F47" s="23"/>
      <c r="G47" s="23"/>
      <c r="H47" s="23" t="s">
        <v>18</v>
      </c>
      <c r="I47" s="60"/>
      <c r="J47" s="23"/>
      <c r="K47" s="23"/>
      <c r="L47" s="23"/>
      <c r="M47" s="23"/>
      <c r="N47" s="23"/>
      <c r="O47" s="23"/>
      <c r="P47" s="23"/>
      <c r="Q47" s="23"/>
      <c r="R47" s="23"/>
      <c r="S47" s="23"/>
    </row>
    <row r="48" spans="1:21" x14ac:dyDescent="0.2">
      <c r="A48" s="23" t="s">
        <v>19</v>
      </c>
      <c r="B48" s="23"/>
      <c r="C48" s="23"/>
      <c r="D48" s="23"/>
      <c r="E48" s="23"/>
      <c r="F48" s="23"/>
      <c r="G48" s="23"/>
      <c r="H48" s="30">
        <f>'Disposal costs'!F2</f>
        <v>64</v>
      </c>
      <c r="I48" s="24">
        <f t="shared" ref="I48:R48" si="67">I6*($H$48*(1+0.02*(I2-2024)))</f>
        <v>39408358.363605917</v>
      </c>
      <c r="J48" s="24">
        <f t="shared" si="67"/>
        <v>40419878.745395876</v>
      </c>
      <c r="K48" s="24">
        <f t="shared" si="67"/>
        <v>41435066.520079799</v>
      </c>
      <c r="L48" s="24">
        <f t="shared" si="67"/>
        <v>42453726.446729936</v>
      </c>
      <c r="M48" s="24">
        <f t="shared" si="67"/>
        <v>43163379.901793219</v>
      </c>
      <c r="N48" s="24">
        <f t="shared" si="67"/>
        <v>43233121.456135899</v>
      </c>
      <c r="O48" s="24">
        <f t="shared" si="67"/>
        <v>43270274.135121427</v>
      </c>
      <c r="P48" s="24">
        <f t="shared" si="67"/>
        <v>43275174.313842252</v>
      </c>
      <c r="Q48" s="24">
        <f t="shared" si="67"/>
        <v>43248178.992693774</v>
      </c>
      <c r="R48" s="24">
        <f t="shared" si="67"/>
        <v>43189664.241077617</v>
      </c>
      <c r="S48" s="23"/>
    </row>
    <row r="49" spans="1:19" x14ac:dyDescent="0.2">
      <c r="A49" s="23" t="s">
        <v>74</v>
      </c>
      <c r="B49" s="23"/>
      <c r="C49" s="23"/>
      <c r="D49" s="23"/>
      <c r="E49" s="23"/>
      <c r="F49" s="23"/>
      <c r="G49" s="23"/>
      <c r="H49" s="30">
        <f>'Disposal costs'!F3</f>
        <v>107.23583695223056</v>
      </c>
      <c r="I49" s="24">
        <f>I7*($H$49*(1+0.05*(I2-2024)))</f>
        <v>30830303.123766281</v>
      </c>
      <c r="J49" s="24">
        <f>J7*($H$49*(1+0.05*(J2-2024)))</f>
        <v>32170751.085669167</v>
      </c>
      <c r="K49" s="24">
        <f t="shared" ref="K49:R49" si="68">K7*($H$49*(1+0.05*(K2-2024)))</f>
        <v>33511199.04757205</v>
      </c>
      <c r="L49" s="24">
        <f t="shared" si="68"/>
        <v>34851647.009474933</v>
      </c>
      <c r="M49" s="24">
        <f t="shared" si="68"/>
        <v>36192094.971377812</v>
      </c>
      <c r="N49" s="24">
        <f t="shared" si="68"/>
        <v>37532542.933280692</v>
      </c>
      <c r="O49" s="24">
        <f t="shared" si="68"/>
        <v>38872990.895183578</v>
      </c>
      <c r="P49" s="24">
        <f t="shared" si="68"/>
        <v>40213438.857086457</v>
      </c>
      <c r="Q49" s="24">
        <f t="shared" si="68"/>
        <v>41553886.818989344</v>
      </c>
      <c r="R49" s="24">
        <f t="shared" si="68"/>
        <v>42894334.780892223</v>
      </c>
      <c r="S49" s="23"/>
    </row>
    <row r="50" spans="1:19" x14ac:dyDescent="0.2">
      <c r="A50" s="23" t="s">
        <v>20</v>
      </c>
      <c r="B50" s="23"/>
      <c r="C50" s="23"/>
      <c r="D50" s="23"/>
      <c r="E50" s="23"/>
      <c r="F50" s="23"/>
      <c r="G50" s="23"/>
      <c r="H50" s="30">
        <f>'Disposal costs'!F4</f>
        <v>171</v>
      </c>
      <c r="I50" s="24">
        <f>I8*($H$50*(1+0.02*(I2-2024)))</f>
        <v>8401054.6045327485</v>
      </c>
      <c r="J50" s="24">
        <f>J8*($H$50*(1+0.02*(J2-2024)))</f>
        <v>6240761.5587632954</v>
      </c>
      <c r="K50" s="24">
        <f>K8*($H$50*(1+0.02*(K2-2024)))</f>
        <v>3980642.5400296277</v>
      </c>
      <c r="L50" s="24">
        <f>L8*($H$50*(1+0.05*(L2-2024)))</f>
        <v>1882506.6908018363</v>
      </c>
      <c r="M50" s="24">
        <f t="shared" ref="M50:R50" si="69">M8*($H$50*(1+0.02*(M2-2024)))</f>
        <v>0</v>
      </c>
      <c r="N50" s="24">
        <f t="shared" si="69"/>
        <v>0</v>
      </c>
      <c r="O50" s="24">
        <f t="shared" si="69"/>
        <v>0</v>
      </c>
      <c r="P50" s="24">
        <f t="shared" si="69"/>
        <v>0</v>
      </c>
      <c r="Q50" s="24">
        <f t="shared" si="69"/>
        <v>0</v>
      </c>
      <c r="R50" s="24">
        <f t="shared" si="69"/>
        <v>0</v>
      </c>
      <c r="S50" s="23"/>
    </row>
    <row r="51" spans="1:19" x14ac:dyDescent="0.2">
      <c r="A51" s="22" t="s">
        <v>21</v>
      </c>
      <c r="B51" s="22"/>
      <c r="C51" s="22"/>
      <c r="D51" s="22"/>
      <c r="E51" s="22"/>
      <c r="F51" s="22"/>
      <c r="G51" s="22"/>
      <c r="H51" s="22"/>
      <c r="I51" s="26">
        <f>SUM(I48:I50)</f>
        <v>78639716.091904938</v>
      </c>
      <c r="J51" s="26">
        <f t="shared" ref="J51:R51" si="70">SUM(J48:J50)</f>
        <v>78831391.389828339</v>
      </c>
      <c r="K51" s="26">
        <f t="shared" si="70"/>
        <v>78926908.107681483</v>
      </c>
      <c r="L51" s="26">
        <f t="shared" si="70"/>
        <v>79187880.147006691</v>
      </c>
      <c r="M51" s="26">
        <f t="shared" si="70"/>
        <v>79355474.873171031</v>
      </c>
      <c r="N51" s="26">
        <f t="shared" si="70"/>
        <v>80765664.38941659</v>
      </c>
      <c r="O51" s="26">
        <f t="shared" si="70"/>
        <v>82143265.030304998</v>
      </c>
      <c r="P51" s="26">
        <f t="shared" si="70"/>
        <v>83488613.170928717</v>
      </c>
      <c r="Q51" s="26">
        <f t="shared" si="70"/>
        <v>84802065.811683118</v>
      </c>
      <c r="R51" s="26">
        <f t="shared" si="70"/>
        <v>86083999.02196984</v>
      </c>
      <c r="S51" s="23"/>
    </row>
    <row r="52" spans="1:19" x14ac:dyDescent="0.2">
      <c r="A52" s="22" t="s">
        <v>25</v>
      </c>
      <c r="J52" s="23"/>
      <c r="K52" s="23"/>
      <c r="L52" s="23"/>
      <c r="M52" s="23"/>
      <c r="N52" s="23"/>
      <c r="O52" s="23"/>
      <c r="P52" s="23"/>
      <c r="Q52" s="23"/>
      <c r="S52" s="26">
        <f>SUM(I51:R51)</f>
        <v>812224978.03389573</v>
      </c>
    </row>
    <row r="53" spans="1:19" x14ac:dyDescent="0.2">
      <c r="A53" s="23" t="s">
        <v>81</v>
      </c>
      <c r="B53" s="23"/>
      <c r="C53" s="23"/>
      <c r="D53" s="23"/>
      <c r="E53" s="23"/>
      <c r="F53" s="33">
        <v>220000000</v>
      </c>
      <c r="G53" s="33"/>
      <c r="H53" s="23"/>
      <c r="I53" s="27">
        <f>F53/20</f>
        <v>11000000</v>
      </c>
      <c r="J53" s="27">
        <f>I53</f>
        <v>11000000</v>
      </c>
      <c r="K53" s="27">
        <f t="shared" ref="K53:R53" si="71">J53</f>
        <v>11000000</v>
      </c>
      <c r="L53" s="27">
        <f t="shared" si="71"/>
        <v>11000000</v>
      </c>
      <c r="M53" s="27">
        <f t="shared" si="71"/>
        <v>11000000</v>
      </c>
      <c r="N53" s="27">
        <f t="shared" si="71"/>
        <v>11000000</v>
      </c>
      <c r="O53" s="27">
        <f t="shared" si="71"/>
        <v>11000000</v>
      </c>
      <c r="P53" s="27">
        <f t="shared" si="71"/>
        <v>11000000</v>
      </c>
      <c r="Q53" s="27">
        <f t="shared" si="71"/>
        <v>11000000</v>
      </c>
      <c r="R53" s="27">
        <f t="shared" si="71"/>
        <v>11000000</v>
      </c>
      <c r="S53" s="23" t="s">
        <v>127</v>
      </c>
    </row>
    <row r="54" spans="1:19" x14ac:dyDescent="0.2">
      <c r="A54" s="22" t="s">
        <v>24</v>
      </c>
      <c r="B54" s="23"/>
      <c r="C54" s="23"/>
      <c r="D54" s="23"/>
      <c r="E54" s="23"/>
      <c r="F54" s="23"/>
      <c r="G54" s="23"/>
      <c r="H54" s="23"/>
      <c r="I54" s="28">
        <f>SUM(I53+I51)</f>
        <v>89639716.091904938</v>
      </c>
      <c r="J54" s="28">
        <f t="shared" ref="J54:R54" si="72">SUM(J53+J51)</f>
        <v>89831391.389828339</v>
      </c>
      <c r="K54" s="28">
        <f t="shared" si="72"/>
        <v>89926908.107681483</v>
      </c>
      <c r="L54" s="28">
        <f t="shared" si="72"/>
        <v>90187880.147006691</v>
      </c>
      <c r="M54" s="28">
        <f t="shared" si="72"/>
        <v>90355474.873171031</v>
      </c>
      <c r="N54" s="28">
        <f t="shared" si="72"/>
        <v>91765664.38941659</v>
      </c>
      <c r="O54" s="28">
        <f t="shared" si="72"/>
        <v>93143265.030304998</v>
      </c>
      <c r="P54" s="28">
        <f t="shared" si="72"/>
        <v>94488613.170928717</v>
      </c>
      <c r="Q54" s="28">
        <f t="shared" si="72"/>
        <v>95802065.811683118</v>
      </c>
      <c r="R54" s="28">
        <f t="shared" si="72"/>
        <v>97083999.02196984</v>
      </c>
    </row>
    <row r="55" spans="1:19" x14ac:dyDescent="0.2">
      <c r="A55" s="15" t="s">
        <v>26</v>
      </c>
      <c r="S55" s="26">
        <f>SUM(I54:R54)</f>
        <v>922224978.03389573</v>
      </c>
    </row>
    <row r="56" spans="1:19" x14ac:dyDescent="0.2">
      <c r="A56" s="22" t="s">
        <v>27</v>
      </c>
      <c r="B56" s="22"/>
      <c r="C56" s="22"/>
      <c r="D56" s="23"/>
      <c r="E56" s="23"/>
      <c r="F56" s="23"/>
      <c r="G56" s="23"/>
      <c r="H56" s="23" t="s">
        <v>28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</row>
    <row r="57" spans="1:19" x14ac:dyDescent="0.2">
      <c r="A57" s="23" t="s">
        <v>19</v>
      </c>
      <c r="B57" s="23"/>
      <c r="C57" s="23"/>
      <c r="D57" s="23"/>
      <c r="E57" s="23"/>
      <c r="F57" s="23"/>
      <c r="G57" s="23"/>
      <c r="H57" s="24">
        <f>'Disposal costs'!F12</f>
        <v>47.643125769627581</v>
      </c>
      <c r="I57" s="24">
        <f>I6*($H$57*(1+0.02*(I2-2022)))</f>
        <v>30443560.01298666</v>
      </c>
      <c r="J57" s="24">
        <f t="shared" ref="J57:R57" si="73">J6*$H$57*(1+0.02*(I2-2022))</f>
        <v>30646734.712470945</v>
      </c>
      <c r="K57" s="24">
        <f t="shared" si="73"/>
        <v>31406074.087325752</v>
      </c>
      <c r="L57" s="24">
        <f t="shared" si="73"/>
        <v>32167915.464280803</v>
      </c>
      <c r="M57" s="24">
        <f t="shared" si="73"/>
        <v>32695565.669844918</v>
      </c>
      <c r="N57" s="24">
        <f t="shared" si="73"/>
        <v>32738658.818412658</v>
      </c>
      <c r="O57" s="24">
        <f t="shared" si="73"/>
        <v>32757379.968843009</v>
      </c>
      <c r="P57" s="24">
        <f t="shared" si="73"/>
        <v>32751989.303321239</v>
      </c>
      <c r="Q57" s="24">
        <f t="shared" si="73"/>
        <v>32722761.968619119</v>
      </c>
      <c r="R57" s="24">
        <f t="shared" si="73"/>
        <v>32669986.930266082</v>
      </c>
      <c r="S57" s="23" t="s">
        <v>123</v>
      </c>
    </row>
    <row r="58" spans="1:19" x14ac:dyDescent="0.2">
      <c r="A58" s="23" t="s">
        <v>74</v>
      </c>
      <c r="B58" s="23"/>
      <c r="C58" s="23"/>
      <c r="D58" s="23"/>
      <c r="E58" s="23"/>
      <c r="F58" s="23"/>
      <c r="G58" s="23"/>
      <c r="H58" s="24">
        <f>'Disposal costs'!F13</f>
        <v>78.280771161677052</v>
      </c>
      <c r="I58" s="24">
        <f>I7*($H$58*(1+0.05*(I2-2022)))</f>
        <v>24462740.988024082</v>
      </c>
      <c r="J58" s="24">
        <f t="shared" ref="J58:R58" si="74">J7*($H$58*(1+0.05*(J2-2022)))</f>
        <v>25441250.62754504</v>
      </c>
      <c r="K58" s="24">
        <f t="shared" si="74"/>
        <v>26419760.267066006</v>
      </c>
      <c r="L58" s="24">
        <f t="shared" si="74"/>
        <v>27398269.906586967</v>
      </c>
      <c r="M58" s="24">
        <f t="shared" si="74"/>
        <v>28376779.546107929</v>
      </c>
      <c r="N58" s="24">
        <f t="shared" si="74"/>
        <v>29355289.185628895</v>
      </c>
      <c r="O58" s="24">
        <f t="shared" si="74"/>
        <v>30333798.82514986</v>
      </c>
      <c r="P58" s="24">
        <f t="shared" si="74"/>
        <v>31312308.464670822</v>
      </c>
      <c r="Q58" s="24">
        <f t="shared" si="74"/>
        <v>32290818.104191784</v>
      </c>
      <c r="R58" s="24">
        <f t="shared" si="74"/>
        <v>33269327.743712749</v>
      </c>
      <c r="S58" s="23"/>
    </row>
    <row r="59" spans="1:19" x14ac:dyDescent="0.2">
      <c r="A59" s="23" t="s">
        <v>20</v>
      </c>
      <c r="B59" s="23"/>
      <c r="C59" s="23"/>
      <c r="D59" s="23"/>
      <c r="E59" s="23"/>
      <c r="F59" s="23"/>
      <c r="G59" s="23"/>
      <c r="H59" s="24">
        <f>'Disposal costs'!F14</f>
        <v>117.41999999999999</v>
      </c>
      <c r="I59" s="24">
        <f t="shared" ref="I59:R59" si="75">I8*($H$59*(1+0.02*(I2-2022)))</f>
        <v>5986411.8659972344</v>
      </c>
      <c r="J59" s="24">
        <f t="shared" si="75"/>
        <v>4444038.6013514427</v>
      </c>
      <c r="K59" s="24">
        <f t="shared" si="75"/>
        <v>2832769.9821229023</v>
      </c>
      <c r="L59" s="24">
        <f t="shared" si="75"/>
        <v>1153445.6380359146</v>
      </c>
      <c r="M59" s="24">
        <f t="shared" si="75"/>
        <v>0</v>
      </c>
      <c r="N59" s="24">
        <f t="shared" si="75"/>
        <v>0</v>
      </c>
      <c r="O59" s="24">
        <f t="shared" si="75"/>
        <v>0</v>
      </c>
      <c r="P59" s="24">
        <f t="shared" si="75"/>
        <v>0</v>
      </c>
      <c r="Q59" s="24">
        <f t="shared" si="75"/>
        <v>0</v>
      </c>
      <c r="R59" s="24">
        <f t="shared" si="75"/>
        <v>0</v>
      </c>
      <c r="S59" s="23"/>
    </row>
    <row r="60" spans="1:19" x14ac:dyDescent="0.2">
      <c r="A60" s="22" t="s">
        <v>21</v>
      </c>
      <c r="B60" s="22"/>
      <c r="C60" s="22"/>
      <c r="D60" s="22"/>
      <c r="E60" s="22"/>
      <c r="F60" s="22"/>
      <c r="G60" s="22"/>
      <c r="H60" s="22"/>
      <c r="I60" s="26">
        <f>SUM(I57:I59)</f>
        <v>60892712.867007978</v>
      </c>
      <c r="J60" s="26">
        <f t="shared" ref="J60" si="76">SUM(J57:J59)</f>
        <v>60532023.941367425</v>
      </c>
      <c r="K60" s="26">
        <f t="shared" ref="K60" si="77">SUM(K57:K59)</f>
        <v>60658604.336514659</v>
      </c>
      <c r="L60" s="26">
        <f t="shared" ref="L60" si="78">SUM(L57:L59)</f>
        <v>60719631.00890369</v>
      </c>
      <c r="M60" s="26">
        <f t="shared" ref="M60" si="79">SUM(M57:M59)</f>
        <v>61072345.215952843</v>
      </c>
      <c r="N60" s="26">
        <f t="shared" ref="N60" si="80">SUM(N57:N59)</f>
        <v>62093948.004041553</v>
      </c>
      <c r="O60" s="26">
        <f t="shared" ref="O60" si="81">SUM(O57:O59)</f>
        <v>63091178.79399287</v>
      </c>
      <c r="P60" s="26">
        <f t="shared" ref="P60" si="82">SUM(P57:P59)</f>
        <v>64064297.767992064</v>
      </c>
      <c r="Q60" s="26">
        <f t="shared" ref="Q60" si="83">SUM(Q57:Q59)</f>
        <v>65013580.072810903</v>
      </c>
      <c r="R60" s="26">
        <f t="shared" ref="R60" si="84">SUM(R57:R59)</f>
        <v>65939314.673978835</v>
      </c>
      <c r="S60" s="23"/>
    </row>
    <row r="61" spans="1:19" x14ac:dyDescent="0.2">
      <c r="A61" s="22" t="s">
        <v>80</v>
      </c>
      <c r="J61" s="23"/>
      <c r="K61" s="23"/>
      <c r="L61" s="23"/>
      <c r="M61" s="23"/>
      <c r="N61" s="23"/>
      <c r="O61" s="23"/>
      <c r="P61" s="23"/>
      <c r="Q61" s="23"/>
      <c r="S61" s="26">
        <f>SUM(I60:R60)</f>
        <v>624077636.68256283</v>
      </c>
    </row>
    <row r="62" spans="1:19" x14ac:dyDescent="0.2">
      <c r="A62" s="23" t="s">
        <v>81</v>
      </c>
      <c r="B62" s="23"/>
      <c r="C62" s="23"/>
      <c r="D62" s="23"/>
      <c r="E62" s="23"/>
      <c r="F62" s="27">
        <f>F53</f>
        <v>220000000</v>
      </c>
      <c r="G62" s="27"/>
      <c r="H62" s="23"/>
      <c r="I62" s="27">
        <f>F62/20</f>
        <v>11000000</v>
      </c>
      <c r="J62" s="27">
        <f>I62</f>
        <v>11000000</v>
      </c>
      <c r="K62" s="27">
        <f t="shared" ref="K62:R62" si="85">J62</f>
        <v>11000000</v>
      </c>
      <c r="L62" s="27">
        <f t="shared" si="85"/>
        <v>11000000</v>
      </c>
      <c r="M62" s="27">
        <f t="shared" si="85"/>
        <v>11000000</v>
      </c>
      <c r="N62" s="27">
        <f t="shared" si="85"/>
        <v>11000000</v>
      </c>
      <c r="O62" s="27">
        <f t="shared" si="85"/>
        <v>11000000</v>
      </c>
      <c r="P62" s="27">
        <f t="shared" si="85"/>
        <v>11000000</v>
      </c>
      <c r="Q62" s="27">
        <f t="shared" si="85"/>
        <v>11000000</v>
      </c>
      <c r="R62" s="27">
        <f t="shared" si="85"/>
        <v>11000000</v>
      </c>
      <c r="S62" s="23"/>
    </row>
    <row r="63" spans="1:19" x14ac:dyDescent="0.2">
      <c r="A63" s="22" t="s">
        <v>24</v>
      </c>
      <c r="B63" s="23"/>
      <c r="C63" s="23"/>
      <c r="D63" s="23"/>
      <c r="E63" s="23"/>
      <c r="F63" s="23"/>
      <c r="G63" s="23"/>
      <c r="H63" s="23"/>
      <c r="I63" s="28">
        <f>SUM(I62+I60)</f>
        <v>71892712.867007971</v>
      </c>
      <c r="J63" s="28">
        <f t="shared" ref="J63" si="86">SUM(J62+J60)</f>
        <v>71532023.941367418</v>
      </c>
      <c r="K63" s="28">
        <f t="shared" ref="K63" si="87">SUM(K62+K60)</f>
        <v>71658604.336514652</v>
      </c>
      <c r="L63" s="28">
        <f t="shared" ref="L63" si="88">SUM(L62+L60)</f>
        <v>71719631.008903682</v>
      </c>
      <c r="M63" s="28">
        <f t="shared" ref="M63" si="89">SUM(M62+M60)</f>
        <v>72072345.215952843</v>
      </c>
      <c r="N63" s="28">
        <f t="shared" ref="N63" si="90">SUM(N62+N60)</f>
        <v>73093948.004041553</v>
      </c>
      <c r="O63" s="28">
        <f t="shared" ref="O63" si="91">SUM(O62+O60)</f>
        <v>74091178.793992877</v>
      </c>
      <c r="P63" s="28">
        <f t="shared" ref="P63" si="92">SUM(P62+P60)</f>
        <v>75064297.767992064</v>
      </c>
      <c r="Q63" s="28">
        <f t="shared" ref="Q63" si="93">SUM(Q62+Q60)</f>
        <v>76013580.072810903</v>
      </c>
      <c r="R63" s="28">
        <f t="shared" ref="R63" si="94">SUM(R62+R60)</f>
        <v>76939314.673978835</v>
      </c>
    </row>
    <row r="64" spans="1:19" x14ac:dyDescent="0.2">
      <c r="A64" s="15" t="s">
        <v>26</v>
      </c>
      <c r="I64" s="25"/>
      <c r="S64" s="26">
        <f>SUM(I63:R63)</f>
        <v>734077636.68256271</v>
      </c>
    </row>
    <row r="66" spans="1:19" s="21" customFormat="1" x14ac:dyDescent="0.2">
      <c r="A66" s="16" t="s">
        <v>32</v>
      </c>
    </row>
    <row r="67" spans="1:19" x14ac:dyDescent="0.2">
      <c r="A67" s="22" t="s">
        <v>30</v>
      </c>
      <c r="B67" s="22"/>
      <c r="C67" s="22"/>
      <c r="D67" s="23"/>
      <c r="E67" s="23"/>
      <c r="F67" s="23"/>
      <c r="G67" s="23"/>
      <c r="H67" s="23" t="s">
        <v>18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</row>
    <row r="68" spans="1:19" x14ac:dyDescent="0.2">
      <c r="A68" s="23" t="s">
        <v>19</v>
      </c>
      <c r="B68" s="23"/>
      <c r="C68" s="23"/>
      <c r="D68" s="23"/>
      <c r="E68" s="23"/>
      <c r="F68" s="23"/>
      <c r="G68" s="23"/>
      <c r="H68" s="24">
        <f>H48</f>
        <v>64</v>
      </c>
      <c r="I68" s="24">
        <f t="shared" ref="I68:R68" si="95">I15*($H$68*(1+0.02*(I2-2024)))</f>
        <v>39408358.363605917</v>
      </c>
      <c r="J68" s="24">
        <f t="shared" si="95"/>
        <v>40419878.745395876</v>
      </c>
      <c r="K68" s="24">
        <f t="shared" si="95"/>
        <v>41435066.520079799</v>
      </c>
      <c r="L68" s="24">
        <f t="shared" si="95"/>
        <v>42453726.446729936</v>
      </c>
      <c r="M68" s="24">
        <f t="shared" si="95"/>
        <v>43475670.309120238</v>
      </c>
      <c r="N68" s="24">
        <f t="shared" si="95"/>
        <v>44500716.696246296</v>
      </c>
      <c r="O68" s="24">
        <f t="shared" si="95"/>
        <v>45528690.789216824</v>
      </c>
      <c r="P68" s="24">
        <f t="shared" si="95"/>
        <v>46559424.154339671</v>
      </c>
      <c r="Q68" s="24">
        <f t="shared" si="95"/>
        <v>47592754.542230621</v>
      </c>
      <c r="R68" s="24">
        <f t="shared" si="95"/>
        <v>48628525.692777365</v>
      </c>
      <c r="S68" s="23"/>
    </row>
    <row r="69" spans="1:19" x14ac:dyDescent="0.2">
      <c r="A69" s="23" t="s">
        <v>74</v>
      </c>
      <c r="B69" s="23"/>
      <c r="C69" s="23"/>
      <c r="D69" s="23"/>
      <c r="E69" s="23"/>
      <c r="F69" s="23"/>
      <c r="G69" s="23"/>
      <c r="H69" s="24">
        <f>H49</f>
        <v>107.23583695223056</v>
      </c>
      <c r="I69" s="24">
        <f>I16*($H$69*(1+0.052*(I2-2024)))</f>
        <v>30991156.879194628</v>
      </c>
      <c r="J69" s="24">
        <f t="shared" ref="J69:R69" si="96">J16*($H$69*(1+0.02*(J2-2024)))</f>
        <v>0</v>
      </c>
      <c r="K69" s="24">
        <f t="shared" si="96"/>
        <v>0</v>
      </c>
      <c r="L69" s="24">
        <f t="shared" si="96"/>
        <v>0</v>
      </c>
      <c r="M69" s="24">
        <f t="shared" si="96"/>
        <v>0</v>
      </c>
      <c r="N69" s="24">
        <f t="shared" si="96"/>
        <v>0</v>
      </c>
      <c r="O69" s="24">
        <f t="shared" si="96"/>
        <v>0</v>
      </c>
      <c r="P69" s="24">
        <f t="shared" si="96"/>
        <v>0</v>
      </c>
      <c r="Q69" s="24">
        <f t="shared" si="96"/>
        <v>0</v>
      </c>
      <c r="R69" s="24">
        <f t="shared" si="96"/>
        <v>0</v>
      </c>
      <c r="S69" s="23"/>
    </row>
    <row r="70" spans="1:19" x14ac:dyDescent="0.2">
      <c r="A70" s="23" t="s">
        <v>20</v>
      </c>
      <c r="B70" s="23"/>
      <c r="C70" s="23"/>
      <c r="D70" s="23"/>
      <c r="E70" s="23"/>
      <c r="F70" s="23"/>
      <c r="G70" s="23"/>
      <c r="H70" s="24">
        <f>H50</f>
        <v>171</v>
      </c>
      <c r="I70" s="24">
        <f t="shared" ref="I70:R70" si="97">I17*($H$70*(1+0.02*(I2-2024)))</f>
        <v>8401054.6045327485</v>
      </c>
      <c r="J70" s="24">
        <f t="shared" si="97"/>
        <v>82923898.035908699</v>
      </c>
      <c r="K70" s="24">
        <f t="shared" si="97"/>
        <v>81371324.181691423</v>
      </c>
      <c r="L70" s="24">
        <f t="shared" si="97"/>
        <v>79710801.568372741</v>
      </c>
      <c r="M70" s="24">
        <f t="shared" si="97"/>
        <v>77944042.460742533</v>
      </c>
      <c r="N70" s="24">
        <f t="shared" si="97"/>
        <v>76072791.545046955</v>
      </c>
      <c r="O70" s="24">
        <f t="shared" si="97"/>
        <v>74098822.299900174</v>
      </c>
      <c r="P70" s="24">
        <f t="shared" si="97"/>
        <v>72023933.545044661</v>
      </c>
      <c r="Q70" s="24">
        <f t="shared" si="97"/>
        <v>69849946.161058813</v>
      </c>
      <c r="R70" s="24">
        <f t="shared" si="97"/>
        <v>67578699.973350227</v>
      </c>
      <c r="S70" s="23"/>
    </row>
    <row r="71" spans="1:19" x14ac:dyDescent="0.2">
      <c r="A71" s="22" t="s">
        <v>21</v>
      </c>
      <c r="B71" s="22"/>
      <c r="C71" s="22"/>
      <c r="D71" s="22"/>
      <c r="E71" s="22"/>
      <c r="F71" s="22"/>
      <c r="G71" s="22"/>
      <c r="H71" s="22"/>
      <c r="I71" s="26">
        <f>SUM(I68:I70)</f>
        <v>78800569.847333297</v>
      </c>
      <c r="J71" s="26">
        <f t="shared" ref="J71" si="98">SUM(J68:J70)</f>
        <v>123343776.78130457</v>
      </c>
      <c r="K71" s="26">
        <f t="shared" ref="K71" si="99">SUM(K68:K70)</f>
        <v>122806390.70177123</v>
      </c>
      <c r="L71" s="26">
        <f t="shared" ref="L71" si="100">SUM(L68:L70)</f>
        <v>122164528.01510268</v>
      </c>
      <c r="M71" s="26">
        <f t="shared" ref="M71" si="101">SUM(M68:M70)</f>
        <v>121419712.76986277</v>
      </c>
      <c r="N71" s="26">
        <f t="shared" ref="N71" si="102">SUM(N68:N70)</f>
        <v>120573508.24129325</v>
      </c>
      <c r="O71" s="26">
        <f t="shared" ref="O71" si="103">SUM(O68:O70)</f>
        <v>119627513.08911699</v>
      </c>
      <c r="P71" s="26">
        <f t="shared" ref="P71" si="104">SUM(P68:P70)</f>
        <v>118583357.69938433</v>
      </c>
      <c r="Q71" s="26">
        <f t="shared" ref="Q71" si="105">SUM(Q68:Q70)</f>
        <v>117442700.70328943</v>
      </c>
      <c r="R71" s="26">
        <f t="shared" ref="R71" si="106">SUM(R68:R70)</f>
        <v>116207225.66612759</v>
      </c>
      <c r="S71" s="34" t="s">
        <v>22</v>
      </c>
    </row>
    <row r="72" spans="1:19" x14ac:dyDescent="0.2">
      <c r="A72" s="22" t="s">
        <v>25</v>
      </c>
      <c r="J72" s="23"/>
      <c r="K72" s="23"/>
      <c r="L72" s="23"/>
      <c r="M72" s="23"/>
      <c r="N72" s="23"/>
      <c r="O72" s="23"/>
      <c r="P72" s="23"/>
      <c r="Q72" s="23"/>
      <c r="S72" s="26">
        <f>SUM(I71:R71)</f>
        <v>1160969283.5145862</v>
      </c>
    </row>
    <row r="73" spans="1:19" x14ac:dyDescent="0.2">
      <c r="A73" s="23" t="s">
        <v>81</v>
      </c>
      <c r="B73" s="23"/>
      <c r="C73" s="23"/>
      <c r="D73" s="23"/>
      <c r="E73" s="23"/>
      <c r="F73" s="23">
        <v>0</v>
      </c>
      <c r="G73" s="23"/>
      <c r="H73" s="23"/>
      <c r="I73" s="27">
        <f>F73/20</f>
        <v>0</v>
      </c>
      <c r="J73" s="27">
        <f>I73</f>
        <v>0</v>
      </c>
      <c r="K73" s="27">
        <f t="shared" ref="K73:R73" si="107">J73</f>
        <v>0</v>
      </c>
      <c r="L73" s="27">
        <f t="shared" si="107"/>
        <v>0</v>
      </c>
      <c r="M73" s="27">
        <f t="shared" si="107"/>
        <v>0</v>
      </c>
      <c r="N73" s="27">
        <f t="shared" si="107"/>
        <v>0</v>
      </c>
      <c r="O73" s="27">
        <f t="shared" si="107"/>
        <v>0</v>
      </c>
      <c r="P73" s="27">
        <f t="shared" si="107"/>
        <v>0</v>
      </c>
      <c r="Q73" s="27">
        <f t="shared" si="107"/>
        <v>0</v>
      </c>
      <c r="R73" s="27">
        <f t="shared" si="107"/>
        <v>0</v>
      </c>
      <c r="S73" s="23"/>
    </row>
    <row r="74" spans="1:19" x14ac:dyDescent="0.2">
      <c r="A74" s="22" t="s">
        <v>24</v>
      </c>
      <c r="B74" s="23"/>
      <c r="C74" s="23"/>
      <c r="D74" s="23"/>
      <c r="E74" s="23"/>
      <c r="F74" s="23"/>
      <c r="G74" s="23"/>
      <c r="H74" s="23"/>
      <c r="I74" s="28">
        <f>SUM(I73+I71)</f>
        <v>78800569.847333297</v>
      </c>
      <c r="J74" s="28">
        <f t="shared" ref="J74" si="108">SUM(J73+J71)</f>
        <v>123343776.78130457</v>
      </c>
      <c r="K74" s="28">
        <f t="shared" ref="K74" si="109">SUM(K73+K71)</f>
        <v>122806390.70177123</v>
      </c>
      <c r="L74" s="28">
        <f t="shared" ref="L74" si="110">SUM(L73+L71)</f>
        <v>122164528.01510268</v>
      </c>
      <c r="M74" s="28">
        <f t="shared" ref="M74" si="111">SUM(M73+M71)</f>
        <v>121419712.76986277</v>
      </c>
      <c r="N74" s="28">
        <f t="shared" ref="N74" si="112">SUM(N73+N71)</f>
        <v>120573508.24129325</v>
      </c>
      <c r="O74" s="28">
        <f t="shared" ref="O74" si="113">SUM(O73+O71)</f>
        <v>119627513.08911699</v>
      </c>
      <c r="P74" s="28">
        <f t="shared" ref="P74" si="114">SUM(P73+P71)</f>
        <v>118583357.69938433</v>
      </c>
      <c r="Q74" s="28">
        <f t="shared" ref="Q74" si="115">SUM(Q73+Q71)</f>
        <v>117442700.70328943</v>
      </c>
      <c r="R74" s="28">
        <f t="shared" ref="R74" si="116">SUM(R73+R71)</f>
        <v>116207225.66612759</v>
      </c>
    </row>
    <row r="75" spans="1:19" x14ac:dyDescent="0.2">
      <c r="A75" s="15" t="s">
        <v>26</v>
      </c>
      <c r="S75" s="26">
        <f>SUM(I74:R74)</f>
        <v>1160969283.5145862</v>
      </c>
    </row>
    <row r="76" spans="1:19" x14ac:dyDescent="0.2">
      <c r="A76" s="15"/>
      <c r="R76" s="26"/>
    </row>
    <row r="77" spans="1:19" x14ac:dyDescent="0.2">
      <c r="A77" s="22" t="s">
        <v>29</v>
      </c>
      <c r="B77" s="22"/>
      <c r="C77" s="22"/>
      <c r="D77" s="23"/>
      <c r="E77" s="23"/>
      <c r="F77" s="23"/>
      <c r="G77" s="23"/>
      <c r="H77" s="23" t="s">
        <v>28</v>
      </c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</row>
    <row r="78" spans="1:19" x14ac:dyDescent="0.2">
      <c r="A78" s="23" t="s">
        <v>19</v>
      </c>
      <c r="B78" s="23"/>
      <c r="C78" s="23"/>
      <c r="D78" s="23"/>
      <c r="E78" s="23"/>
      <c r="F78" s="23"/>
      <c r="G78" s="23"/>
      <c r="H78" s="24">
        <f>H57</f>
        <v>47.643125769627581</v>
      </c>
      <c r="I78" s="24">
        <f t="shared" ref="I78:R78" si="117">I15*($H$57*(1+0.02*(I2-2022)))</f>
        <v>30443560.01298666</v>
      </c>
      <c r="J78" s="24">
        <f t="shared" si="117"/>
        <v>31203948.070879508</v>
      </c>
      <c r="K78" s="24">
        <f t="shared" si="117"/>
        <v>31966896.838885136</v>
      </c>
      <c r="L78" s="24">
        <f t="shared" si="117"/>
        <v>32732264.858390987</v>
      </c>
      <c r="M78" s="24">
        <f t="shared" si="117"/>
        <v>33499915.81110758</v>
      </c>
      <c r="N78" s="24">
        <f t="shared" si="117"/>
        <v>34269718.357723519</v>
      </c>
      <c r="O78" s="24">
        <f t="shared" si="117"/>
        <v>35041545.98125679</v>
      </c>
      <c r="P78" s="24">
        <f t="shared" si="117"/>
        <v>35815276.834971808</v>
      </c>
      <c r="Q78" s="24">
        <f t="shared" si="117"/>
        <v>36590793.594735138</v>
      </c>
      <c r="R78" s="24">
        <f t="shared" si="117"/>
        <v>37367983.31568642</v>
      </c>
      <c r="S78" s="23"/>
    </row>
    <row r="79" spans="1:19" x14ac:dyDescent="0.2">
      <c r="A79" s="23" t="s">
        <v>74</v>
      </c>
      <c r="B79" s="23"/>
      <c r="C79" s="23"/>
      <c r="D79" s="23"/>
      <c r="E79" s="23"/>
      <c r="F79" s="23"/>
      <c r="G79" s="23"/>
      <c r="H79" s="24">
        <f>H58</f>
        <v>78.280771161677052</v>
      </c>
      <c r="I79" s="24">
        <f>I16*($H$58*(1+0.05*(I2-2022)))</f>
        <v>24462740.988024082</v>
      </c>
      <c r="J79" s="24">
        <f t="shared" ref="J79:R79" si="118">J16*($H$58*(1+0.05*(J2-2022)))</f>
        <v>0</v>
      </c>
      <c r="K79" s="24">
        <f t="shared" si="118"/>
        <v>0</v>
      </c>
      <c r="L79" s="24">
        <f t="shared" si="118"/>
        <v>0</v>
      </c>
      <c r="M79" s="24">
        <f t="shared" si="118"/>
        <v>0</v>
      </c>
      <c r="N79" s="24">
        <f t="shared" si="118"/>
        <v>0</v>
      </c>
      <c r="O79" s="24">
        <f t="shared" si="118"/>
        <v>0</v>
      </c>
      <c r="P79" s="24">
        <f t="shared" si="118"/>
        <v>0</v>
      </c>
      <c r="Q79" s="24">
        <f t="shared" si="118"/>
        <v>0</v>
      </c>
      <c r="R79" s="24">
        <f t="shared" si="118"/>
        <v>0</v>
      </c>
      <c r="S79" s="23"/>
    </row>
    <row r="80" spans="1:19" x14ac:dyDescent="0.2">
      <c r="A80" s="23" t="s">
        <v>20</v>
      </c>
      <c r="B80" s="23"/>
      <c r="C80" s="23"/>
      <c r="D80" s="23"/>
      <c r="E80" s="23"/>
      <c r="F80" s="23"/>
      <c r="G80" s="23"/>
      <c r="H80" s="24">
        <f>H59</f>
        <v>117.41999999999999</v>
      </c>
      <c r="I80" s="24">
        <f t="shared" ref="I80:R80" si="119">I17*($H$59*(1+0.02*(I2-2022)))</f>
        <v>5986411.8659972344</v>
      </c>
      <c r="J80" s="24">
        <f t="shared" si="119"/>
        <v>59050005.416187815</v>
      </c>
      <c r="K80" s="24">
        <f t="shared" si="119"/>
        <v>57906793.244934581</v>
      </c>
      <c r="L80" s="24">
        <f t="shared" si="119"/>
        <v>56689562.924935549</v>
      </c>
      <c r="M80" s="24">
        <f t="shared" si="119"/>
        <v>55399525.851921894</v>
      </c>
      <c r="N80" s="24">
        <f t="shared" si="119"/>
        <v>54037913.994067825</v>
      </c>
      <c r="O80" s="24">
        <f t="shared" si="119"/>
        <v>52605977.458787881</v>
      </c>
      <c r="P80" s="24">
        <f t="shared" si="119"/>
        <v>51104982.179850571</v>
      </c>
      <c r="Q80" s="24">
        <f t="shared" si="119"/>
        <v>49536207.720121376</v>
      </c>
      <c r="R80" s="24">
        <f t="shared" si="119"/>
        <v>47900945.185411252</v>
      </c>
      <c r="S80" s="23"/>
    </row>
    <row r="81" spans="1:19" x14ac:dyDescent="0.2">
      <c r="A81" s="22" t="s">
        <v>21</v>
      </c>
      <c r="B81" s="22"/>
      <c r="C81" s="22"/>
      <c r="D81" s="22"/>
      <c r="E81" s="22"/>
      <c r="F81" s="22"/>
      <c r="G81" s="22"/>
      <c r="H81" s="22"/>
      <c r="I81" s="26">
        <f>SUM(I78:I80)</f>
        <v>60892712.867007978</v>
      </c>
      <c r="J81" s="26">
        <f t="shared" ref="J81" si="120">SUM(J78:J80)</f>
        <v>90253953.487067327</v>
      </c>
      <c r="K81" s="26">
        <f t="shared" ref="K81" si="121">SUM(K78:K80)</f>
        <v>89873690.083819717</v>
      </c>
      <c r="L81" s="26">
        <f t="shared" ref="L81" si="122">SUM(L78:L80)</f>
        <v>89421827.783326536</v>
      </c>
      <c r="M81" s="26">
        <f t="shared" ref="M81" si="123">SUM(M78:M80)</f>
        <v>88899441.663029477</v>
      </c>
      <c r="N81" s="26">
        <f t="shared" ref="N81" si="124">SUM(N78:N80)</f>
        <v>88307632.351791352</v>
      </c>
      <c r="O81" s="26">
        <f t="shared" ref="O81" si="125">SUM(O78:O80)</f>
        <v>87647523.440044671</v>
      </c>
      <c r="P81" s="26">
        <f t="shared" ref="P81" si="126">SUM(P78:P80)</f>
        <v>86920259.014822379</v>
      </c>
      <c r="Q81" s="26">
        <f t="shared" ref="Q81" si="127">SUM(Q78:Q80)</f>
        <v>86127001.314856514</v>
      </c>
      <c r="R81" s="26">
        <f t="shared" ref="R81" si="128">SUM(R78:R80)</f>
        <v>85268928.501097679</v>
      </c>
      <c r="S81" s="34" t="s">
        <v>22</v>
      </c>
    </row>
    <row r="82" spans="1:19" x14ac:dyDescent="0.2">
      <c r="A82" s="22" t="s">
        <v>25</v>
      </c>
      <c r="J82" s="23"/>
      <c r="K82" s="23"/>
      <c r="L82" s="23"/>
      <c r="M82" s="23"/>
      <c r="N82" s="23"/>
      <c r="O82" s="23"/>
      <c r="P82" s="23"/>
      <c r="Q82" s="23"/>
      <c r="S82" s="26">
        <f>SUM(I81:R81)</f>
        <v>853612970.50686359</v>
      </c>
    </row>
    <row r="83" spans="1:19" x14ac:dyDescent="0.2">
      <c r="A83" s="23" t="s">
        <v>81</v>
      </c>
      <c r="B83" s="23"/>
      <c r="C83" s="23"/>
      <c r="D83" s="23"/>
      <c r="E83" s="23"/>
      <c r="F83" s="23">
        <v>0</v>
      </c>
      <c r="G83" s="23"/>
      <c r="H83" s="23"/>
      <c r="I83" s="27">
        <f>F83/20</f>
        <v>0</v>
      </c>
      <c r="J83" s="27">
        <f>I83</f>
        <v>0</v>
      </c>
      <c r="K83" s="27">
        <f t="shared" ref="K83:R83" si="129">J83</f>
        <v>0</v>
      </c>
      <c r="L83" s="27">
        <f t="shared" si="129"/>
        <v>0</v>
      </c>
      <c r="M83" s="27">
        <f t="shared" si="129"/>
        <v>0</v>
      </c>
      <c r="N83" s="27">
        <f t="shared" si="129"/>
        <v>0</v>
      </c>
      <c r="O83" s="27">
        <f t="shared" si="129"/>
        <v>0</v>
      </c>
      <c r="P83" s="27">
        <f t="shared" si="129"/>
        <v>0</v>
      </c>
      <c r="Q83" s="27">
        <f t="shared" si="129"/>
        <v>0</v>
      </c>
      <c r="R83" s="27">
        <f t="shared" si="129"/>
        <v>0</v>
      </c>
      <c r="S83" s="23"/>
    </row>
    <row r="84" spans="1:19" x14ac:dyDescent="0.2">
      <c r="A84" s="22" t="s">
        <v>24</v>
      </c>
      <c r="B84" s="23"/>
      <c r="C84" s="23"/>
      <c r="D84" s="23"/>
      <c r="E84" s="23"/>
      <c r="F84" s="23"/>
      <c r="G84" s="23"/>
      <c r="H84" s="23"/>
      <c r="I84" s="28">
        <f>SUM(I83+I81)</f>
        <v>60892712.867007978</v>
      </c>
      <c r="J84" s="28">
        <f t="shared" ref="J84" si="130">SUM(J83+J81)</f>
        <v>90253953.487067327</v>
      </c>
      <c r="K84" s="28">
        <f t="shared" ref="K84" si="131">SUM(K83+K81)</f>
        <v>89873690.083819717</v>
      </c>
      <c r="L84" s="28">
        <f t="shared" ref="L84" si="132">SUM(L83+L81)</f>
        <v>89421827.783326536</v>
      </c>
      <c r="M84" s="28">
        <f t="shared" ref="M84" si="133">SUM(M83+M81)</f>
        <v>88899441.663029477</v>
      </c>
      <c r="N84" s="28">
        <f t="shared" ref="N84" si="134">SUM(N83+N81)</f>
        <v>88307632.351791352</v>
      </c>
      <c r="O84" s="28">
        <f t="shared" ref="O84" si="135">SUM(O83+O81)</f>
        <v>87647523.440044671</v>
      </c>
      <c r="P84" s="28">
        <f t="shared" ref="P84" si="136">SUM(P83+P81)</f>
        <v>86920259.014822379</v>
      </c>
      <c r="Q84" s="28">
        <f t="shared" ref="Q84" si="137">SUM(Q83+Q81)</f>
        <v>86127001.314856514</v>
      </c>
      <c r="R84" s="28">
        <f t="shared" ref="R84" si="138">SUM(R83+R81)</f>
        <v>85268928.501097679</v>
      </c>
    </row>
    <row r="85" spans="1:19" x14ac:dyDescent="0.2">
      <c r="A85" s="15" t="s">
        <v>26</v>
      </c>
      <c r="S85" s="26">
        <f>SUM(I84:R84)</f>
        <v>853612970.50686359</v>
      </c>
    </row>
    <row r="86" spans="1:19" s="41" customFormat="1" x14ac:dyDescent="0.2"/>
    <row r="87" spans="1:19" x14ac:dyDescent="0.2">
      <c r="A87" s="15" t="s">
        <v>15</v>
      </c>
    </row>
    <row r="88" spans="1:19" x14ac:dyDescent="0.2">
      <c r="A88" s="22" t="s">
        <v>33</v>
      </c>
      <c r="B88" s="22"/>
      <c r="C88" s="22"/>
      <c r="D88" s="23"/>
      <c r="E88" s="23"/>
      <c r="F88" s="23"/>
      <c r="G88" s="23"/>
      <c r="H88" s="23" t="s">
        <v>18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</row>
    <row r="89" spans="1:19" x14ac:dyDescent="0.2">
      <c r="A89" s="23" t="s">
        <v>19</v>
      </c>
      <c r="B89" s="23"/>
      <c r="C89" s="23"/>
      <c r="D89" s="23"/>
      <c r="E89" s="23"/>
      <c r="F89" s="23"/>
      <c r="G89" s="23"/>
      <c r="H89" s="24">
        <f>H48</f>
        <v>64</v>
      </c>
      <c r="I89" s="24">
        <f t="shared" ref="I89:R89" si="139">I25*($H$89*(1+0.02*(I2-2024)))</f>
        <v>39408358.363605917</v>
      </c>
      <c r="J89" s="24">
        <f t="shared" si="139"/>
        <v>40736316.680244975</v>
      </c>
      <c r="K89" s="24">
        <f t="shared" si="139"/>
        <v>42056158.269311115</v>
      </c>
      <c r="L89" s="24">
        <f t="shared" si="139"/>
        <v>43367774.907770023</v>
      </c>
      <c r="M89" s="24">
        <f t="shared" si="139"/>
        <v>44671089.486709759</v>
      </c>
      <c r="N89" s="24">
        <f t="shared" si="139"/>
        <v>45966053.1704861</v>
      </c>
      <c r="O89" s="24">
        <f t="shared" si="139"/>
        <v>47252642.762168035</v>
      </c>
      <c r="P89" s="24">
        <f t="shared" si="139"/>
        <v>48530858.261755556</v>
      </c>
      <c r="Q89" s="24">
        <f t="shared" si="139"/>
        <v>47144782.234460779</v>
      </c>
      <c r="R89" s="24">
        <f t="shared" si="139"/>
        <v>45576102.167339653</v>
      </c>
      <c r="S89" s="23"/>
    </row>
    <row r="90" spans="1:19" x14ac:dyDescent="0.2">
      <c r="A90" s="23" t="s">
        <v>74</v>
      </c>
      <c r="B90" s="23"/>
      <c r="C90" s="23"/>
      <c r="D90" s="23"/>
      <c r="E90" s="23"/>
      <c r="F90" s="23"/>
      <c r="G90" s="23"/>
      <c r="H90" s="24">
        <f>H49</f>
        <v>107.23583695223056</v>
      </c>
      <c r="I90" s="24">
        <f>I26*($H$90*(1+0.05*(I2-2024)))</f>
        <v>30830303.123766281</v>
      </c>
      <c r="J90" s="24">
        <f t="shared" ref="J90:R90" si="140">J26*($H$90*(1+0.05*(J2-2024)))</f>
        <v>0</v>
      </c>
      <c r="K90" s="24">
        <f t="shared" si="140"/>
        <v>0</v>
      </c>
      <c r="L90" s="24">
        <f t="shared" si="140"/>
        <v>0</v>
      </c>
      <c r="M90" s="24">
        <f t="shared" si="140"/>
        <v>0</v>
      </c>
      <c r="N90" s="24">
        <f t="shared" si="140"/>
        <v>0</v>
      </c>
      <c r="O90" s="24">
        <f t="shared" si="140"/>
        <v>0</v>
      </c>
      <c r="P90" s="24">
        <f t="shared" si="140"/>
        <v>0</v>
      </c>
      <c r="Q90" s="24">
        <f t="shared" si="140"/>
        <v>0</v>
      </c>
      <c r="R90" s="24">
        <f t="shared" si="140"/>
        <v>0</v>
      </c>
      <c r="S90" s="23"/>
    </row>
    <row r="91" spans="1:19" x14ac:dyDescent="0.2">
      <c r="A91" s="23" t="s">
        <v>20</v>
      </c>
      <c r="B91" s="23"/>
      <c r="C91" s="23"/>
      <c r="D91" s="23"/>
      <c r="E91" s="23"/>
      <c r="F91" s="23"/>
      <c r="G91" s="23"/>
      <c r="H91" s="24">
        <f>H50</f>
        <v>171</v>
      </c>
      <c r="I91" s="24">
        <f t="shared" ref="I91:R91" si="141">I27*($H$91*(1+0.02*(I2-2024)))</f>
        <v>8401054.6045327485</v>
      </c>
      <c r="J91" s="24">
        <f t="shared" si="141"/>
        <v>46148295.171889678</v>
      </c>
      <c r="K91" s="24">
        <f t="shared" si="141"/>
        <v>38555336.469656296</v>
      </c>
      <c r="L91" s="24">
        <f t="shared" si="141"/>
        <v>30945593.027190391</v>
      </c>
      <c r="M91" s="24">
        <f t="shared" si="141"/>
        <v>23326950.308897108</v>
      </c>
      <c r="N91" s="24">
        <f t="shared" si="141"/>
        <v>15706784.114910368</v>
      </c>
      <c r="O91" s="24">
        <f t="shared" si="141"/>
        <v>8091979.9878429631</v>
      </c>
      <c r="P91" s="24">
        <f t="shared" si="141"/>
        <v>488952.54532326339</v>
      </c>
      <c r="Q91" s="24">
        <f t="shared" si="141"/>
        <v>0</v>
      </c>
      <c r="R91" s="24">
        <f t="shared" si="141"/>
        <v>0</v>
      </c>
      <c r="S91" s="23" t="s">
        <v>35</v>
      </c>
    </row>
    <row r="92" spans="1:19" x14ac:dyDescent="0.2">
      <c r="A92" s="22" t="s">
        <v>21</v>
      </c>
      <c r="B92" s="22"/>
      <c r="C92" s="22"/>
      <c r="D92" s="22"/>
      <c r="E92" s="22"/>
      <c r="F92" s="22"/>
      <c r="G92" s="22"/>
      <c r="H92" s="22"/>
      <c r="I92" s="26">
        <f>SUM(I89:I91)</f>
        <v>78639716.091904938</v>
      </c>
      <c r="J92" s="26">
        <f t="shared" ref="J92" si="142">SUM(J89:J91)</f>
        <v>86884611.852134645</v>
      </c>
      <c r="K92" s="26">
        <f t="shared" ref="K92" si="143">SUM(K89:K91)</f>
        <v>80611494.738967419</v>
      </c>
      <c r="L92" s="26">
        <f t="shared" ref="L92" si="144">SUM(L89:L91)</f>
        <v>74313367.93496041</v>
      </c>
      <c r="M92" s="26">
        <f t="shared" ref="M92" si="145">SUM(M89:M91)</f>
        <v>67998039.795606866</v>
      </c>
      <c r="N92" s="26">
        <f t="shared" ref="N92" si="146">SUM(N89:N91)</f>
        <v>61672837.285396472</v>
      </c>
      <c r="O92" s="26">
        <f t="shared" ref="O92" si="147">SUM(O89:O91)</f>
        <v>55344622.750010997</v>
      </c>
      <c r="P92" s="26">
        <f t="shared" ref="P92" si="148">SUM(P89:P91)</f>
        <v>49019810.807078816</v>
      </c>
      <c r="Q92" s="26">
        <f t="shared" ref="Q92" si="149">SUM(Q89:Q91)</f>
        <v>47144782.234460779</v>
      </c>
      <c r="R92" s="26">
        <f t="shared" ref="R92" si="150">SUM(R89:R91)</f>
        <v>45576102.167339653</v>
      </c>
      <c r="S92" s="34" t="s">
        <v>22</v>
      </c>
    </row>
    <row r="93" spans="1:19" x14ac:dyDescent="0.2">
      <c r="A93" s="22" t="s">
        <v>25</v>
      </c>
      <c r="J93" s="23"/>
      <c r="K93" s="23"/>
      <c r="L93" s="23"/>
      <c r="M93" s="23"/>
      <c r="N93" s="23"/>
      <c r="O93" s="23"/>
      <c r="P93" s="23"/>
      <c r="Q93" s="23"/>
      <c r="S93" s="26">
        <f>SUM(I92:R92)</f>
        <v>647205385.65786111</v>
      </c>
    </row>
    <row r="94" spans="1:19" x14ac:dyDescent="0.2">
      <c r="A94" s="23" t="s">
        <v>81</v>
      </c>
      <c r="B94" s="23"/>
      <c r="C94" s="23"/>
      <c r="D94" s="23"/>
      <c r="E94" s="23"/>
      <c r="F94" s="23">
        <v>0</v>
      </c>
      <c r="G94" s="23"/>
      <c r="H94" s="23"/>
      <c r="I94" s="27">
        <f>F94/20</f>
        <v>0</v>
      </c>
      <c r="J94" s="27">
        <f>I94</f>
        <v>0</v>
      </c>
      <c r="K94" s="27">
        <f t="shared" ref="K94:R94" si="151">J94</f>
        <v>0</v>
      </c>
      <c r="L94" s="27">
        <f t="shared" si="151"/>
        <v>0</v>
      </c>
      <c r="M94" s="27">
        <f t="shared" si="151"/>
        <v>0</v>
      </c>
      <c r="N94" s="27">
        <f t="shared" si="151"/>
        <v>0</v>
      </c>
      <c r="O94" s="27">
        <f t="shared" si="151"/>
        <v>0</v>
      </c>
      <c r="P94" s="27">
        <f t="shared" si="151"/>
        <v>0</v>
      </c>
      <c r="Q94" s="27">
        <f t="shared" si="151"/>
        <v>0</v>
      </c>
      <c r="R94" s="27">
        <f t="shared" si="151"/>
        <v>0</v>
      </c>
      <c r="S94" s="23"/>
    </row>
    <row r="95" spans="1:19" x14ac:dyDescent="0.2">
      <c r="A95" s="22" t="s">
        <v>24</v>
      </c>
      <c r="B95" s="23"/>
      <c r="C95" s="23"/>
      <c r="D95" s="23"/>
      <c r="E95" s="23"/>
      <c r="F95" s="23"/>
      <c r="G95" s="23"/>
      <c r="H95" s="23"/>
      <c r="I95" s="28">
        <f>SUM(I94+I92)</f>
        <v>78639716.091904938</v>
      </c>
      <c r="J95" s="28">
        <f t="shared" ref="J95" si="152">SUM(J94+J92)</f>
        <v>86884611.852134645</v>
      </c>
      <c r="K95" s="28">
        <f t="shared" ref="K95" si="153">SUM(K94+K92)</f>
        <v>80611494.738967419</v>
      </c>
      <c r="L95" s="28">
        <f t="shared" ref="L95" si="154">SUM(L94+L92)</f>
        <v>74313367.93496041</v>
      </c>
      <c r="M95" s="28">
        <f t="shared" ref="M95" si="155">SUM(M94+M92)</f>
        <v>67998039.795606866</v>
      </c>
      <c r="N95" s="28">
        <f t="shared" ref="N95" si="156">SUM(N94+N92)</f>
        <v>61672837.285396472</v>
      </c>
      <c r="O95" s="28">
        <f t="shared" ref="O95" si="157">SUM(O94+O92)</f>
        <v>55344622.750010997</v>
      </c>
      <c r="P95" s="28">
        <f t="shared" ref="P95" si="158">SUM(P94+P92)</f>
        <v>49019810.807078816</v>
      </c>
      <c r="Q95" s="28">
        <f t="shared" ref="Q95" si="159">SUM(Q94+Q92)</f>
        <v>47144782.234460779</v>
      </c>
      <c r="R95" s="28">
        <f t="shared" ref="R95" si="160">SUM(R94+R92)</f>
        <v>45576102.167339653</v>
      </c>
    </row>
    <row r="96" spans="1:19" x14ac:dyDescent="0.2">
      <c r="A96" s="15" t="s">
        <v>26</v>
      </c>
      <c r="S96" s="26">
        <f>SUM(I95:R95)</f>
        <v>647205385.65786111</v>
      </c>
    </row>
    <row r="97" spans="1:19" x14ac:dyDescent="0.2">
      <c r="A97" s="15"/>
      <c r="R97" s="26"/>
    </row>
    <row r="98" spans="1:19" x14ac:dyDescent="0.2">
      <c r="A98" s="22" t="s">
        <v>34</v>
      </c>
      <c r="B98" s="22"/>
      <c r="C98" s="22"/>
      <c r="D98" s="23"/>
      <c r="E98" s="23"/>
      <c r="F98" s="23"/>
      <c r="G98" s="23"/>
      <c r="H98" s="23" t="s">
        <v>28</v>
      </c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</row>
    <row r="99" spans="1:19" x14ac:dyDescent="0.2">
      <c r="A99" s="23" t="s">
        <v>19</v>
      </c>
      <c r="B99" s="23"/>
      <c r="C99" s="23"/>
      <c r="D99" s="23"/>
      <c r="E99" s="23"/>
      <c r="F99" s="23"/>
      <c r="G99" s="23"/>
      <c r="H99" s="24">
        <f>H78</f>
        <v>47.643125769627581</v>
      </c>
      <c r="I99" s="24">
        <f t="shared" ref="I99:R99" si="161">I25*($H$57*(1+0.02*(I2-2022)))</f>
        <v>30443560.01298666</v>
      </c>
      <c r="J99" s="24">
        <f t="shared" si="161"/>
        <v>31448236.603976905</v>
      </c>
      <c r="K99" s="24">
        <f t="shared" si="161"/>
        <v>32446065.271389965</v>
      </c>
      <c r="L99" s="24">
        <f t="shared" si="161"/>
        <v>33437005.733322427</v>
      </c>
      <c r="M99" s="24">
        <f t="shared" si="161"/>
        <v>34421038.855870195</v>
      </c>
      <c r="N99" s="24">
        <f t="shared" si="161"/>
        <v>35398164.639033265</v>
      </c>
      <c r="O99" s="24">
        <f t="shared" si="161"/>
        <v>36368400.351160087</v>
      </c>
      <c r="P99" s="24">
        <f t="shared" si="161"/>
        <v>37331778.802112751</v>
      </c>
      <c r="Q99" s="24">
        <f t="shared" si="161"/>
        <v>36246378.517116159</v>
      </c>
      <c r="R99" s="24">
        <f t="shared" si="161"/>
        <v>35022386.574967086</v>
      </c>
      <c r="S99" s="23"/>
    </row>
    <row r="100" spans="1:19" x14ac:dyDescent="0.2">
      <c r="A100" s="23" t="s">
        <v>74</v>
      </c>
      <c r="B100" s="23"/>
      <c r="C100" s="23"/>
      <c r="D100" s="23"/>
      <c r="E100" s="23"/>
      <c r="F100" s="23"/>
      <c r="G100" s="23"/>
      <c r="H100" s="24">
        <f>H79</f>
        <v>78.280771161677052</v>
      </c>
      <c r="I100" s="24">
        <f>I26*($H$58*(1+0.05*(I2-2022)))</f>
        <v>24462740.988024082</v>
      </c>
      <c r="J100" s="24">
        <f t="shared" ref="J100:R100" si="162">J26*($H$58*(1+0.05*(J2-2022)))</f>
        <v>0</v>
      </c>
      <c r="K100" s="24">
        <f t="shared" si="162"/>
        <v>0</v>
      </c>
      <c r="L100" s="24">
        <f t="shared" si="162"/>
        <v>0</v>
      </c>
      <c r="M100" s="24">
        <f t="shared" si="162"/>
        <v>0</v>
      </c>
      <c r="N100" s="24">
        <f t="shared" si="162"/>
        <v>0</v>
      </c>
      <c r="O100" s="24">
        <f t="shared" si="162"/>
        <v>0</v>
      </c>
      <c r="P100" s="24">
        <f t="shared" si="162"/>
        <v>0</v>
      </c>
      <c r="Q100" s="24">
        <f t="shared" si="162"/>
        <v>0</v>
      </c>
      <c r="R100" s="24">
        <f t="shared" si="162"/>
        <v>0</v>
      </c>
      <c r="S100" s="23"/>
    </row>
    <row r="101" spans="1:19" x14ac:dyDescent="0.2">
      <c r="A101" s="23" t="s">
        <v>20</v>
      </c>
      <c r="B101" s="23"/>
      <c r="C101" s="23"/>
      <c r="D101" s="23"/>
      <c r="E101" s="23"/>
      <c r="F101" s="23"/>
      <c r="G101" s="23"/>
      <c r="H101" s="24">
        <f>H80</f>
        <v>117.41999999999999</v>
      </c>
      <c r="I101" s="24">
        <f t="shared" ref="I101:R101" si="163">I27*($H$59*(1+0.02*(I2-2022)))</f>
        <v>5986411.8659972344</v>
      </c>
      <c r="J101" s="24">
        <f t="shared" si="163"/>
        <v>32862144.018698722</v>
      </c>
      <c r="K101" s="24">
        <f t="shared" si="163"/>
        <v>27437379.444042675</v>
      </c>
      <c r="L101" s="24">
        <f t="shared" si="163"/>
        <v>22008211.041004211</v>
      </c>
      <c r="M101" s="24">
        <f t="shared" si="163"/>
        <v>16579868.658148266</v>
      </c>
      <c r="N101" s="24">
        <f t="shared" si="163"/>
        <v>11157232.854039777</v>
      </c>
      <c r="O101" s="24">
        <f t="shared" si="163"/>
        <v>5744848.6173578911</v>
      </c>
      <c r="P101" s="24">
        <f t="shared" si="163"/>
        <v>346938.99493715109</v>
      </c>
      <c r="Q101" s="24">
        <f t="shared" si="163"/>
        <v>0</v>
      </c>
      <c r="R101" s="24">
        <f t="shared" si="163"/>
        <v>0</v>
      </c>
      <c r="S101" s="23" t="s">
        <v>36</v>
      </c>
    </row>
    <row r="102" spans="1:19" x14ac:dyDescent="0.2">
      <c r="A102" s="22" t="s">
        <v>21</v>
      </c>
      <c r="B102" s="22"/>
      <c r="C102" s="22"/>
      <c r="D102" s="22"/>
      <c r="E102" s="22"/>
      <c r="F102" s="22"/>
      <c r="G102" s="22"/>
      <c r="H102" s="22"/>
      <c r="I102" s="26">
        <f>SUM(I99:I101)</f>
        <v>60892712.867007978</v>
      </c>
      <c r="J102" s="26">
        <f t="shared" ref="J102" si="164">SUM(J99:J101)</f>
        <v>64310380.622675627</v>
      </c>
      <c r="K102" s="26">
        <f t="shared" ref="K102" si="165">SUM(K99:K101)</f>
        <v>59883444.715432644</v>
      </c>
      <c r="L102" s="26">
        <f t="shared" ref="L102" si="166">SUM(L99:L101)</f>
        <v>55445216.774326637</v>
      </c>
      <c r="M102" s="26">
        <f t="shared" ref="M102" si="167">SUM(M99:M101)</f>
        <v>51000907.514018461</v>
      </c>
      <c r="N102" s="26">
        <f t="shared" ref="N102" si="168">SUM(N99:N101)</f>
        <v>46555397.493073046</v>
      </c>
      <c r="O102" s="26">
        <f t="shared" ref="O102" si="169">SUM(O99:O101)</f>
        <v>42113248.968517974</v>
      </c>
      <c r="P102" s="26">
        <f t="shared" ref="P102" si="170">SUM(P99:P101)</f>
        <v>37678717.797049902</v>
      </c>
      <c r="Q102" s="26">
        <f t="shared" ref="Q102" si="171">SUM(Q99:Q101)</f>
        <v>36246378.517116159</v>
      </c>
      <c r="R102" s="26">
        <f t="shared" ref="R102" si="172">SUM(R99:R101)</f>
        <v>35022386.574967086</v>
      </c>
      <c r="S102" s="34" t="s">
        <v>22</v>
      </c>
    </row>
    <row r="103" spans="1:19" x14ac:dyDescent="0.2">
      <c r="A103" s="22" t="s">
        <v>25</v>
      </c>
      <c r="J103" s="23"/>
      <c r="K103" s="23"/>
      <c r="L103" s="23"/>
      <c r="M103" s="23"/>
      <c r="N103" s="23"/>
      <c r="O103" s="23"/>
      <c r="P103" s="23"/>
      <c r="Q103" s="23"/>
      <c r="S103" s="26">
        <f>SUM(I102:R102)</f>
        <v>489148791.84418553</v>
      </c>
    </row>
    <row r="104" spans="1:19" x14ac:dyDescent="0.2">
      <c r="A104" s="23" t="s">
        <v>81</v>
      </c>
      <c r="B104" s="23"/>
      <c r="C104" s="23"/>
      <c r="D104" s="23"/>
      <c r="E104" s="23"/>
      <c r="F104" s="23">
        <v>0</v>
      </c>
      <c r="G104" s="23"/>
      <c r="H104" s="23"/>
      <c r="I104" s="27">
        <f>F104/20</f>
        <v>0</v>
      </c>
      <c r="J104" s="27">
        <f>I104</f>
        <v>0</v>
      </c>
      <c r="K104" s="27">
        <f t="shared" ref="K104:R104" si="173">J104</f>
        <v>0</v>
      </c>
      <c r="L104" s="27">
        <f t="shared" si="173"/>
        <v>0</v>
      </c>
      <c r="M104" s="27">
        <f t="shared" si="173"/>
        <v>0</v>
      </c>
      <c r="N104" s="27">
        <f t="shared" si="173"/>
        <v>0</v>
      </c>
      <c r="O104" s="27">
        <f t="shared" si="173"/>
        <v>0</v>
      </c>
      <c r="P104" s="27">
        <f t="shared" si="173"/>
        <v>0</v>
      </c>
      <c r="Q104" s="27">
        <f t="shared" si="173"/>
        <v>0</v>
      </c>
      <c r="R104" s="27">
        <f t="shared" si="173"/>
        <v>0</v>
      </c>
      <c r="S104" s="23"/>
    </row>
    <row r="105" spans="1:19" x14ac:dyDescent="0.2">
      <c r="A105" s="22" t="s">
        <v>24</v>
      </c>
      <c r="B105" s="23"/>
      <c r="C105" s="23"/>
      <c r="D105" s="23"/>
      <c r="E105" s="23"/>
      <c r="F105" s="23"/>
      <c r="G105" s="23"/>
      <c r="H105" s="23"/>
      <c r="I105" s="28">
        <f>SUM(I104+I102)</f>
        <v>60892712.867007978</v>
      </c>
      <c r="J105" s="28">
        <f t="shared" ref="J105" si="174">SUM(J104+J102)</f>
        <v>64310380.622675627</v>
      </c>
      <c r="K105" s="28">
        <f t="shared" ref="K105" si="175">SUM(K104+K102)</f>
        <v>59883444.715432644</v>
      </c>
      <c r="L105" s="28">
        <f t="shared" ref="L105" si="176">SUM(L104+L102)</f>
        <v>55445216.774326637</v>
      </c>
      <c r="M105" s="28">
        <f t="shared" ref="M105" si="177">SUM(M104+M102)</f>
        <v>51000907.514018461</v>
      </c>
      <c r="N105" s="28">
        <f t="shared" ref="N105" si="178">SUM(N104+N102)</f>
        <v>46555397.493073046</v>
      </c>
      <c r="O105" s="28">
        <f t="shared" ref="O105" si="179">SUM(O104+O102)</f>
        <v>42113248.968517974</v>
      </c>
      <c r="P105" s="28">
        <f t="shared" ref="P105" si="180">SUM(P104+P102)</f>
        <v>37678717.797049902</v>
      </c>
      <c r="Q105" s="28">
        <f t="shared" ref="Q105" si="181">SUM(Q104+Q102)</f>
        <v>36246378.517116159</v>
      </c>
      <c r="R105" s="28">
        <f t="shared" ref="R105" si="182">SUM(R104+R102)</f>
        <v>35022386.574967086</v>
      </c>
    </row>
    <row r="106" spans="1:19" x14ac:dyDescent="0.2">
      <c r="A106" s="15" t="s">
        <v>26</v>
      </c>
      <c r="S106" s="26">
        <f>SUM(I105:R105)</f>
        <v>489148791.84418553</v>
      </c>
    </row>
    <row r="107" spans="1:19" s="41" customFormat="1" x14ac:dyDescent="0.2"/>
    <row r="108" spans="1:19" x14ac:dyDescent="0.2">
      <c r="A108" s="15" t="s">
        <v>102</v>
      </c>
    </row>
    <row r="109" spans="1:19" x14ac:dyDescent="0.2">
      <c r="A109" s="22" t="s">
        <v>104</v>
      </c>
      <c r="B109" s="22"/>
      <c r="C109" s="22"/>
      <c r="D109" s="23"/>
      <c r="E109" s="23"/>
      <c r="F109" s="23"/>
      <c r="G109" s="23"/>
      <c r="H109" s="23" t="s">
        <v>18</v>
      </c>
      <c r="I109" s="23"/>
      <c r="J109" s="23"/>
      <c r="K109" s="23"/>
      <c r="L109" s="23"/>
      <c r="M109" s="23"/>
      <c r="N109" s="23"/>
      <c r="O109" s="23"/>
      <c r="P109" s="23"/>
      <c r="Q109" s="23"/>
      <c r="R109" s="23"/>
      <c r="S109" s="23"/>
    </row>
    <row r="110" spans="1:19" x14ac:dyDescent="0.2">
      <c r="A110" s="23" t="s">
        <v>19</v>
      </c>
      <c r="B110" s="23"/>
      <c r="C110" s="23"/>
      <c r="D110" s="23"/>
      <c r="E110" s="23"/>
      <c r="F110" s="23"/>
      <c r="G110" s="23"/>
      <c r="H110" s="24">
        <f>H89</f>
        <v>64</v>
      </c>
      <c r="I110" s="24">
        <f t="shared" ref="I110:R110" si="183">I36*($H$110*(1+0.02*(I2-2024)))</f>
        <v>39408358.363605917</v>
      </c>
      <c r="J110" s="24">
        <f t="shared" si="183"/>
        <v>40728193.235806018</v>
      </c>
      <c r="K110" s="24">
        <f t="shared" si="183"/>
        <v>38886225.719942704</v>
      </c>
      <c r="L110" s="24">
        <f t="shared" si="183"/>
        <v>37029751.245431922</v>
      </c>
      <c r="M110" s="24">
        <f t="shared" si="183"/>
        <v>35161643.988285288</v>
      </c>
      <c r="N110" s="24">
        <f t="shared" si="183"/>
        <v>33284615.646242026</v>
      </c>
      <c r="O110" s="24">
        <f t="shared" si="183"/>
        <v>31401220.067559551</v>
      </c>
      <c r="P110" s="24">
        <f t="shared" si="183"/>
        <v>29513858.044800524</v>
      </c>
      <c r="Q110" s="24">
        <f t="shared" si="183"/>
        <v>27624782.234460779</v>
      </c>
      <c r="R110" s="24">
        <f t="shared" si="183"/>
        <v>25736102.167339653</v>
      </c>
      <c r="S110" s="23"/>
    </row>
    <row r="111" spans="1:19" x14ac:dyDescent="0.2">
      <c r="A111" s="23" t="s">
        <v>74</v>
      </c>
      <c r="B111" s="23"/>
      <c r="C111" s="23"/>
      <c r="D111" s="23"/>
      <c r="E111" s="23"/>
      <c r="F111" s="23"/>
      <c r="G111" s="23"/>
      <c r="H111" s="24">
        <f>H90</f>
        <v>107.23583695223056</v>
      </c>
      <c r="I111" s="24">
        <f>I37*($H$111*(1+0.05*(I2-2024)))</f>
        <v>30830303.123766281</v>
      </c>
      <c r="J111" s="24">
        <f t="shared" ref="J111:R111" si="184">J37*($H$111*(1+0.05*(J2-2024)))</f>
        <v>32170751.085669167</v>
      </c>
      <c r="K111" s="24">
        <f t="shared" si="184"/>
        <v>33511199.04757205</v>
      </c>
      <c r="L111" s="24">
        <f t="shared" si="184"/>
        <v>34851647.009474933</v>
      </c>
      <c r="M111" s="24">
        <f t="shared" si="184"/>
        <v>36192094.971377812</v>
      </c>
      <c r="N111" s="24">
        <f t="shared" si="184"/>
        <v>37532542.933280692</v>
      </c>
      <c r="O111" s="24">
        <f t="shared" si="184"/>
        <v>38872990.895183578</v>
      </c>
      <c r="P111" s="24">
        <f t="shared" si="184"/>
        <v>40213438.857086457</v>
      </c>
      <c r="Q111" s="24">
        <f t="shared" si="184"/>
        <v>41553886.818989344</v>
      </c>
      <c r="R111" s="24">
        <f t="shared" si="184"/>
        <v>42894334.780892223</v>
      </c>
      <c r="S111" s="23"/>
    </row>
    <row r="112" spans="1:19" x14ac:dyDescent="0.2">
      <c r="A112" s="23" t="s">
        <v>20</v>
      </c>
      <c r="B112" s="23"/>
      <c r="C112" s="23"/>
      <c r="D112" s="23"/>
      <c r="E112" s="23"/>
      <c r="F112" s="23"/>
      <c r="G112" s="23"/>
      <c r="H112" s="24">
        <f>H91</f>
        <v>171</v>
      </c>
      <c r="I112" s="24">
        <f t="shared" ref="I112:R112" si="185">I38*($H$112*(1+0.02*(I2-2024)))</f>
        <v>8401054.6045327485</v>
      </c>
      <c r="J112" s="24">
        <f t="shared" si="185"/>
        <v>0</v>
      </c>
      <c r="K112" s="24">
        <f t="shared" si="185"/>
        <v>0</v>
      </c>
      <c r="L112" s="24">
        <f t="shared" si="185"/>
        <v>0</v>
      </c>
      <c r="M112" s="24">
        <f t="shared" si="185"/>
        <v>0</v>
      </c>
      <c r="N112" s="24">
        <f t="shared" si="185"/>
        <v>0</v>
      </c>
      <c r="O112" s="24">
        <f t="shared" si="185"/>
        <v>0</v>
      </c>
      <c r="P112" s="24">
        <f t="shared" si="185"/>
        <v>0</v>
      </c>
      <c r="Q112" s="24">
        <f t="shared" si="185"/>
        <v>0</v>
      </c>
      <c r="R112" s="24">
        <f t="shared" si="185"/>
        <v>0</v>
      </c>
      <c r="S112" s="23" t="s">
        <v>35</v>
      </c>
    </row>
    <row r="113" spans="1:19" x14ac:dyDescent="0.2">
      <c r="A113" s="22" t="s">
        <v>21</v>
      </c>
      <c r="B113" s="22"/>
      <c r="C113" s="22"/>
      <c r="D113" s="22"/>
      <c r="E113" s="22"/>
      <c r="F113" s="22"/>
      <c r="G113" s="22"/>
      <c r="H113" s="22"/>
      <c r="I113" s="26">
        <f>SUM(I110:I112)</f>
        <v>78639716.091904938</v>
      </c>
      <c r="J113" s="26">
        <f t="shared" ref="J113:R113" si="186">SUM(J110:J112)</f>
        <v>72898944.321475178</v>
      </c>
      <c r="K113" s="26">
        <f t="shared" si="186"/>
        <v>72397424.76751475</v>
      </c>
      <c r="L113" s="26">
        <f t="shared" si="186"/>
        <v>71881398.254906863</v>
      </c>
      <c r="M113" s="26">
        <f t="shared" si="186"/>
        <v>71353738.959663093</v>
      </c>
      <c r="N113" s="26">
        <f t="shared" si="186"/>
        <v>70817158.579522714</v>
      </c>
      <c r="O113" s="26">
        <f t="shared" si="186"/>
        <v>70274210.962743133</v>
      </c>
      <c r="P113" s="26">
        <f t="shared" si="186"/>
        <v>69727296.901886985</v>
      </c>
      <c r="Q113" s="26">
        <f t="shared" si="186"/>
        <v>69178669.053450122</v>
      </c>
      <c r="R113" s="26">
        <f t="shared" si="186"/>
        <v>68630436.948231876</v>
      </c>
      <c r="S113" s="34" t="s">
        <v>22</v>
      </c>
    </row>
    <row r="114" spans="1:19" x14ac:dyDescent="0.2">
      <c r="A114" s="22" t="s">
        <v>25</v>
      </c>
      <c r="J114" s="23"/>
      <c r="K114" s="23"/>
      <c r="L114" s="23"/>
      <c r="M114" s="23"/>
      <c r="N114" s="23"/>
      <c r="O114" s="23"/>
      <c r="P114" s="23"/>
      <c r="Q114" s="23"/>
      <c r="S114" s="26">
        <f>SUM(I113:R113)</f>
        <v>715798994.84129953</v>
      </c>
    </row>
    <row r="115" spans="1:19" x14ac:dyDescent="0.2">
      <c r="A115" s="23" t="s">
        <v>81</v>
      </c>
      <c r="B115" s="23"/>
      <c r="C115" s="23"/>
      <c r="D115" s="23"/>
      <c r="E115" s="23"/>
      <c r="F115" s="24">
        <f>F62</f>
        <v>220000000</v>
      </c>
      <c r="G115" s="24"/>
      <c r="H115" s="23"/>
      <c r="I115" s="27">
        <f>F115/20</f>
        <v>11000000</v>
      </c>
      <c r="J115" s="27">
        <f>I115</f>
        <v>11000000</v>
      </c>
      <c r="K115" s="27">
        <f t="shared" ref="K115" si="187">J115</f>
        <v>11000000</v>
      </c>
      <c r="L115" s="27">
        <f t="shared" ref="L115" si="188">K115</f>
        <v>11000000</v>
      </c>
      <c r="M115" s="27">
        <f t="shared" ref="M115" si="189">L115</f>
        <v>11000000</v>
      </c>
      <c r="N115" s="27">
        <f t="shared" ref="N115" si="190">M115</f>
        <v>11000000</v>
      </c>
      <c r="O115" s="27">
        <f t="shared" ref="O115" si="191">N115</f>
        <v>11000000</v>
      </c>
      <c r="P115" s="27">
        <f t="shared" ref="P115" si="192">O115</f>
        <v>11000000</v>
      </c>
      <c r="Q115" s="27">
        <f t="shared" ref="Q115" si="193">P115</f>
        <v>11000000</v>
      </c>
      <c r="R115" s="27">
        <f t="shared" ref="R115" si="194">Q115</f>
        <v>11000000</v>
      </c>
      <c r="S115" s="23"/>
    </row>
    <row r="116" spans="1:19" x14ac:dyDescent="0.2">
      <c r="A116" s="22" t="s">
        <v>24</v>
      </c>
      <c r="B116" s="23"/>
      <c r="C116" s="23"/>
      <c r="D116" s="23"/>
      <c r="E116" s="23"/>
      <c r="F116" s="23"/>
      <c r="G116" s="23"/>
      <c r="H116" s="23"/>
      <c r="I116" s="28">
        <f>SUM(I115+I113)</f>
        <v>89639716.091904938</v>
      </c>
      <c r="J116" s="28">
        <f t="shared" ref="J116:R116" si="195">SUM(J115+J113)</f>
        <v>83898944.321475178</v>
      </c>
      <c r="K116" s="28">
        <f t="shared" si="195"/>
        <v>83397424.76751475</v>
      </c>
      <c r="L116" s="28">
        <f t="shared" si="195"/>
        <v>82881398.254906863</v>
      </c>
      <c r="M116" s="28">
        <f t="shared" si="195"/>
        <v>82353738.959663093</v>
      </c>
      <c r="N116" s="28">
        <f t="shared" si="195"/>
        <v>81817158.579522714</v>
      </c>
      <c r="O116" s="28">
        <f t="shared" si="195"/>
        <v>81274210.962743133</v>
      </c>
      <c r="P116" s="28">
        <f t="shared" si="195"/>
        <v>80727296.901886985</v>
      </c>
      <c r="Q116" s="28">
        <f t="shared" si="195"/>
        <v>80178669.053450122</v>
      </c>
      <c r="R116" s="28">
        <f t="shared" si="195"/>
        <v>79630436.948231876</v>
      </c>
    </row>
    <row r="117" spans="1:19" x14ac:dyDescent="0.2">
      <c r="A117" s="15" t="s">
        <v>26</v>
      </c>
      <c r="S117" s="26">
        <f>SUM(I116:R116)</f>
        <v>825798994.84129953</v>
      </c>
    </row>
    <row r="118" spans="1:19" x14ac:dyDescent="0.2">
      <c r="A118" s="15"/>
      <c r="R118" s="26"/>
    </row>
    <row r="119" spans="1:19" x14ac:dyDescent="0.2">
      <c r="A119" s="22" t="s">
        <v>105</v>
      </c>
      <c r="B119" s="22"/>
      <c r="C119" s="22"/>
      <c r="D119" s="23"/>
      <c r="E119" s="23"/>
      <c r="F119" s="23"/>
      <c r="G119" s="23"/>
      <c r="H119" s="23" t="s">
        <v>28</v>
      </c>
      <c r="I119" s="23"/>
      <c r="J119" s="23"/>
      <c r="K119" s="23"/>
      <c r="L119" s="23"/>
      <c r="M119" s="23"/>
      <c r="N119" s="23"/>
      <c r="O119" s="23"/>
      <c r="P119" s="23"/>
      <c r="Q119" s="23"/>
      <c r="R119" s="23"/>
      <c r="S119" s="23"/>
    </row>
    <row r="120" spans="1:19" x14ac:dyDescent="0.2">
      <c r="A120" s="23" t="s">
        <v>19</v>
      </c>
      <c r="B120" s="23"/>
      <c r="C120" s="23"/>
      <c r="D120" s="23"/>
      <c r="E120" s="23"/>
      <c r="F120" s="23"/>
      <c r="G120" s="23"/>
      <c r="H120" s="24">
        <f>H99</f>
        <v>47.643125769627581</v>
      </c>
      <c r="I120" s="24">
        <f t="shared" ref="I120:R120" si="196">I36*($H$120*(1+0.02*(I2-2022)))</f>
        <v>30443560.01298666</v>
      </c>
      <c r="J120" s="24">
        <f t="shared" si="196"/>
        <v>31441965.344727803</v>
      </c>
      <c r="K120" s="24">
        <f t="shared" si="196"/>
        <v>30000481.969556067</v>
      </c>
      <c r="L120" s="24">
        <f t="shared" si="196"/>
        <v>28550323.5370089</v>
      </c>
      <c r="M120" s="24">
        <f t="shared" si="196"/>
        <v>27093592.922490124</v>
      </c>
      <c r="N120" s="24">
        <f t="shared" si="196"/>
        <v>25632270.411006838</v>
      </c>
      <c r="O120" s="24">
        <f t="shared" si="196"/>
        <v>24168217.398545574</v>
      </c>
      <c r="P120" s="24">
        <f t="shared" si="196"/>
        <v>22703180.194810595</v>
      </c>
      <c r="Q120" s="24">
        <f t="shared" si="196"/>
        <v>21238793.899683472</v>
      </c>
      <c r="R120" s="24">
        <f t="shared" si="196"/>
        <v>19776586.328686256</v>
      </c>
      <c r="S120" s="23"/>
    </row>
    <row r="121" spans="1:19" x14ac:dyDescent="0.2">
      <c r="A121" s="23" t="s">
        <v>74</v>
      </c>
      <c r="B121" s="23"/>
      <c r="C121" s="23"/>
      <c r="D121" s="23"/>
      <c r="E121" s="23"/>
      <c r="F121" s="23"/>
      <c r="G121" s="23"/>
      <c r="H121" s="24">
        <f>H100</f>
        <v>78.280771161677052</v>
      </c>
      <c r="I121" s="24">
        <f>I37*($H$121*(1+0.05*(I2-2022)))</f>
        <v>24462740.988024082</v>
      </c>
      <c r="J121" s="24">
        <f t="shared" ref="J121:R121" si="197">J37*($H$121*(1+0.05*(J2-2022)))</f>
        <v>25441250.62754504</v>
      </c>
      <c r="K121" s="24">
        <f t="shared" si="197"/>
        <v>26419760.267066006</v>
      </c>
      <c r="L121" s="24">
        <f t="shared" si="197"/>
        <v>27398269.906586967</v>
      </c>
      <c r="M121" s="24">
        <f t="shared" si="197"/>
        <v>28376779.546107929</v>
      </c>
      <c r="N121" s="24">
        <f t="shared" si="197"/>
        <v>29355289.185628895</v>
      </c>
      <c r="O121" s="24">
        <f t="shared" si="197"/>
        <v>30333798.82514986</v>
      </c>
      <c r="P121" s="24">
        <f t="shared" si="197"/>
        <v>31312308.464670822</v>
      </c>
      <c r="Q121" s="24">
        <f t="shared" si="197"/>
        <v>32290818.104191784</v>
      </c>
      <c r="R121" s="24">
        <f t="shared" si="197"/>
        <v>33269327.743712749</v>
      </c>
      <c r="S121" s="23"/>
    </row>
    <row r="122" spans="1:19" x14ac:dyDescent="0.2">
      <c r="A122" s="23" t="s">
        <v>20</v>
      </c>
      <c r="B122" s="23"/>
      <c r="C122" s="23"/>
      <c r="D122" s="23"/>
      <c r="E122" s="23"/>
      <c r="F122" s="23"/>
      <c r="G122" s="23"/>
      <c r="H122" s="24">
        <f>H101</f>
        <v>117.41999999999999</v>
      </c>
      <c r="I122" s="24">
        <f t="shared" ref="I122:R122" si="198">I38*($H$122*(1+0.02*(I2-2022)))</f>
        <v>5986411.8659972344</v>
      </c>
      <c r="J122" s="24">
        <f t="shared" si="198"/>
        <v>0</v>
      </c>
      <c r="K122" s="24">
        <f t="shared" si="198"/>
        <v>0</v>
      </c>
      <c r="L122" s="24">
        <f t="shared" si="198"/>
        <v>0</v>
      </c>
      <c r="M122" s="24">
        <f t="shared" si="198"/>
        <v>0</v>
      </c>
      <c r="N122" s="24">
        <f t="shared" si="198"/>
        <v>0</v>
      </c>
      <c r="O122" s="24">
        <f t="shared" si="198"/>
        <v>0</v>
      </c>
      <c r="P122" s="24">
        <f t="shared" si="198"/>
        <v>0</v>
      </c>
      <c r="Q122" s="24">
        <f t="shared" si="198"/>
        <v>0</v>
      </c>
      <c r="R122" s="24">
        <f t="shared" si="198"/>
        <v>0</v>
      </c>
      <c r="S122" s="23" t="s">
        <v>36</v>
      </c>
    </row>
    <row r="123" spans="1:19" x14ac:dyDescent="0.2">
      <c r="A123" s="22" t="s">
        <v>21</v>
      </c>
      <c r="B123" s="22"/>
      <c r="C123" s="22"/>
      <c r="D123" s="22"/>
      <c r="E123" s="22"/>
      <c r="F123" s="22"/>
      <c r="G123" s="22"/>
      <c r="H123" s="22"/>
      <c r="I123" s="26">
        <f>SUM(I120:I122)</f>
        <v>60892712.867007978</v>
      </c>
      <c r="J123" s="26">
        <f t="shared" ref="J123:R123" si="199">SUM(J120:J122)</f>
        <v>56883215.972272843</v>
      </c>
      <c r="K123" s="26">
        <f t="shared" si="199"/>
        <v>56420242.236622073</v>
      </c>
      <c r="L123" s="26">
        <f t="shared" si="199"/>
        <v>55948593.443595871</v>
      </c>
      <c r="M123" s="26">
        <f t="shared" si="199"/>
        <v>55470372.468598053</v>
      </c>
      <c r="N123" s="26">
        <f t="shared" si="199"/>
        <v>54987559.596635729</v>
      </c>
      <c r="O123" s="26">
        <f t="shared" si="199"/>
        <v>54502016.223695435</v>
      </c>
      <c r="P123" s="26">
        <f t="shared" si="199"/>
        <v>54015488.659481421</v>
      </c>
      <c r="Q123" s="26">
        <f t="shared" si="199"/>
        <v>53529612.003875256</v>
      </c>
      <c r="R123" s="26">
        <f t="shared" si="199"/>
        <v>53045914.072399005</v>
      </c>
      <c r="S123" s="34" t="s">
        <v>22</v>
      </c>
    </row>
    <row r="124" spans="1:19" x14ac:dyDescent="0.2">
      <c r="A124" s="22" t="s">
        <v>25</v>
      </c>
      <c r="J124" s="23"/>
      <c r="K124" s="23"/>
      <c r="L124" s="23"/>
      <c r="M124" s="23"/>
      <c r="N124" s="23"/>
      <c r="O124" s="23"/>
      <c r="P124" s="23"/>
      <c r="Q124" s="23"/>
      <c r="S124" s="26">
        <f>SUM(I123:R123)</f>
        <v>555695727.54418361</v>
      </c>
    </row>
    <row r="125" spans="1:19" x14ac:dyDescent="0.2">
      <c r="A125" s="23" t="s">
        <v>81</v>
      </c>
      <c r="B125" s="23"/>
      <c r="C125" s="23"/>
      <c r="D125" s="23"/>
      <c r="E125" s="23"/>
      <c r="F125" s="24">
        <f>F53</f>
        <v>220000000</v>
      </c>
      <c r="G125" s="24"/>
      <c r="H125" s="23"/>
      <c r="I125" s="27">
        <f>F125/20</f>
        <v>11000000</v>
      </c>
      <c r="J125" s="27">
        <f>I125</f>
        <v>11000000</v>
      </c>
      <c r="K125" s="27">
        <f t="shared" ref="K125" si="200">J125</f>
        <v>11000000</v>
      </c>
      <c r="L125" s="27">
        <f t="shared" ref="L125" si="201">K125</f>
        <v>11000000</v>
      </c>
      <c r="M125" s="27">
        <f t="shared" ref="M125" si="202">L125</f>
        <v>11000000</v>
      </c>
      <c r="N125" s="27">
        <f t="shared" ref="N125" si="203">M125</f>
        <v>11000000</v>
      </c>
      <c r="O125" s="27">
        <f t="shared" ref="O125" si="204">N125</f>
        <v>11000000</v>
      </c>
      <c r="P125" s="27">
        <f t="shared" ref="P125" si="205">O125</f>
        <v>11000000</v>
      </c>
      <c r="Q125" s="27">
        <f t="shared" ref="Q125" si="206">P125</f>
        <v>11000000</v>
      </c>
      <c r="R125" s="27">
        <f t="shared" ref="R125" si="207">Q125</f>
        <v>11000000</v>
      </c>
      <c r="S125" s="23"/>
    </row>
    <row r="126" spans="1:19" x14ac:dyDescent="0.2">
      <c r="A126" s="22" t="s">
        <v>24</v>
      </c>
      <c r="B126" s="23"/>
      <c r="C126" s="23"/>
      <c r="D126" s="23"/>
      <c r="E126" s="23"/>
      <c r="F126" s="23"/>
      <c r="G126" s="23"/>
      <c r="H126" s="23"/>
      <c r="I126" s="28">
        <f>SUM(I125+I123)</f>
        <v>71892712.867007971</v>
      </c>
      <c r="J126" s="28">
        <f t="shared" ref="J126:R126" si="208">SUM(J125+J123)</f>
        <v>67883215.972272843</v>
      </c>
      <c r="K126" s="28">
        <f t="shared" si="208"/>
        <v>67420242.236622065</v>
      </c>
      <c r="L126" s="28">
        <f t="shared" si="208"/>
        <v>66948593.443595871</v>
      </c>
      <c r="M126" s="28">
        <f t="shared" si="208"/>
        <v>66470372.468598053</v>
      </c>
      <c r="N126" s="28">
        <f t="shared" si="208"/>
        <v>65987559.596635729</v>
      </c>
      <c r="O126" s="28">
        <f t="shared" si="208"/>
        <v>65502016.223695435</v>
      </c>
      <c r="P126" s="28">
        <f t="shared" si="208"/>
        <v>65015488.659481421</v>
      </c>
      <c r="Q126" s="28">
        <f t="shared" si="208"/>
        <v>64529612.003875256</v>
      </c>
      <c r="R126" s="28">
        <f t="shared" si="208"/>
        <v>64045914.072399005</v>
      </c>
    </row>
    <row r="127" spans="1:19" x14ac:dyDescent="0.2">
      <c r="A127" s="15" t="s">
        <v>26</v>
      </c>
      <c r="S127" s="26">
        <f>SUM(I126:R126)</f>
        <v>665695727.54418373</v>
      </c>
    </row>
    <row r="128" spans="1:19" ht="17" customHeight="1" x14ac:dyDescent="0.2"/>
    <row r="129" spans="1:12" ht="17" customHeight="1" x14ac:dyDescent="0.2">
      <c r="A129" s="32"/>
    </row>
    <row r="134" spans="1:12" s="42" customFormat="1" x14ac:dyDescent="0.2">
      <c r="A134" s="42" t="s">
        <v>38</v>
      </c>
      <c r="D134" s="42" t="s">
        <v>48</v>
      </c>
      <c r="H134" s="43">
        <v>-0.05</v>
      </c>
      <c r="I134" s="42" t="s">
        <v>134</v>
      </c>
    </row>
    <row r="135" spans="1:12" ht="34" x14ac:dyDescent="0.2">
      <c r="A135" s="15" t="s">
        <v>39</v>
      </c>
      <c r="F135" s="44" t="s">
        <v>100</v>
      </c>
      <c r="G135" s="44" t="s">
        <v>135</v>
      </c>
      <c r="H135" s="45" t="s">
        <v>84</v>
      </c>
      <c r="I135" s="15" t="s">
        <v>44</v>
      </c>
      <c r="J135" s="15" t="s">
        <v>45</v>
      </c>
    </row>
    <row r="136" spans="1:12" x14ac:dyDescent="0.2">
      <c r="A136" t="s">
        <v>12</v>
      </c>
      <c r="F136" s="25">
        <f>S55</f>
        <v>922224978.03389573</v>
      </c>
      <c r="G136" s="25">
        <f>F136</f>
        <v>922224978.03389573</v>
      </c>
      <c r="J136" s="13">
        <f>S13-S32</f>
        <v>1340603.776471436</v>
      </c>
      <c r="L136" s="29"/>
    </row>
    <row r="137" spans="1:12" x14ac:dyDescent="0.2">
      <c r="A137" t="s">
        <v>82</v>
      </c>
      <c r="F137" s="25">
        <f>S75</f>
        <v>1160969283.5145862</v>
      </c>
      <c r="G137" s="25">
        <f>F137</f>
        <v>1160969283.5145862</v>
      </c>
      <c r="I137" s="61">
        <f>F136-F137</f>
        <v>-238744305.48069048</v>
      </c>
      <c r="K137" t="s">
        <v>125</v>
      </c>
    </row>
    <row r="138" spans="1:12" x14ac:dyDescent="0.2">
      <c r="A138" t="s">
        <v>83</v>
      </c>
      <c r="F138" s="25">
        <f>S96</f>
        <v>647205385.65786111</v>
      </c>
      <c r="G138" s="63">
        <f>F138+H138</f>
        <v>747205385.65786111</v>
      </c>
      <c r="H138" s="47">
        <v>100000000</v>
      </c>
      <c r="I138" s="62">
        <f>F136-F138-H138</f>
        <v>175019592.37603462</v>
      </c>
    </row>
    <row r="139" spans="1:12" x14ac:dyDescent="0.2">
      <c r="A139" t="s">
        <v>103</v>
      </c>
      <c r="F139" s="25">
        <f>S117</f>
        <v>825798994.84129953</v>
      </c>
      <c r="G139" s="25">
        <f>F139+H139</f>
        <v>925798994.84129953</v>
      </c>
      <c r="H139" s="40">
        <f>H138</f>
        <v>100000000</v>
      </c>
      <c r="I139" s="61">
        <f>F136-F139-H139</f>
        <v>-3574016.8074038029</v>
      </c>
      <c r="K139" t="s">
        <v>126</v>
      </c>
    </row>
    <row r="141" spans="1:12" x14ac:dyDescent="0.2">
      <c r="A141" s="15" t="s">
        <v>40</v>
      </c>
      <c r="J141" s="13">
        <f>J136</f>
        <v>1340603.776471436</v>
      </c>
      <c r="L141" s="29"/>
    </row>
    <row r="142" spans="1:12" x14ac:dyDescent="0.2">
      <c r="A142" t="s">
        <v>12</v>
      </c>
      <c r="F142" s="25">
        <f>S64</f>
        <v>734077636.68256271</v>
      </c>
      <c r="G142" s="25">
        <f>F142</f>
        <v>734077636.68256271</v>
      </c>
    </row>
    <row r="143" spans="1:12" x14ac:dyDescent="0.2">
      <c r="A143" t="s">
        <v>82</v>
      </c>
      <c r="F143" s="25">
        <f>S85</f>
        <v>853612970.50686359</v>
      </c>
      <c r="G143" s="25">
        <f>F143</f>
        <v>853612970.50686359</v>
      </c>
      <c r="I143" s="61">
        <f>F142-F143</f>
        <v>-119535333.82430089</v>
      </c>
      <c r="K143" t="s">
        <v>125</v>
      </c>
    </row>
    <row r="144" spans="1:12" ht="17" customHeight="1" x14ac:dyDescent="0.2">
      <c r="A144" t="s">
        <v>83</v>
      </c>
      <c r="F144" s="25">
        <f>S106</f>
        <v>489148791.84418553</v>
      </c>
      <c r="G144" s="63">
        <f>F144+H144</f>
        <v>589148791.84418559</v>
      </c>
      <c r="H144" s="40">
        <f>H138</f>
        <v>100000000</v>
      </c>
      <c r="I144" s="62">
        <f>F142-F144-H144</f>
        <v>144928844.83837718</v>
      </c>
    </row>
    <row r="145" spans="1:19" ht="17" customHeight="1" x14ac:dyDescent="0.2">
      <c r="A145" t="s">
        <v>103</v>
      </c>
      <c r="F145" s="25">
        <f>S127</f>
        <v>665695727.54418373</v>
      </c>
      <c r="G145" s="25">
        <f>F145+H145</f>
        <v>765695727.54418373</v>
      </c>
      <c r="H145" s="40">
        <f>H138</f>
        <v>100000000</v>
      </c>
      <c r="I145" s="61">
        <f>F142-F145-H145</f>
        <v>-31618090.861621022</v>
      </c>
    </row>
    <row r="147" spans="1:19" x14ac:dyDescent="0.2">
      <c r="A147" s="1" t="s">
        <v>41</v>
      </c>
    </row>
    <row r="148" spans="1:19" x14ac:dyDescent="0.2">
      <c r="A148" s="31" t="s">
        <v>133</v>
      </c>
      <c r="B148" s="23"/>
      <c r="C148" s="23"/>
      <c r="D148" s="23"/>
      <c r="E148" s="23"/>
      <c r="F148" s="23"/>
      <c r="G148" s="23"/>
      <c r="H148" s="23"/>
      <c r="I148" s="24"/>
      <c r="J148" s="23"/>
      <c r="K148" s="23"/>
      <c r="L148" s="23"/>
      <c r="M148" s="23"/>
      <c r="N148" s="23"/>
      <c r="O148" s="23"/>
      <c r="P148" s="23"/>
      <c r="Q148" s="23"/>
      <c r="R148" s="23"/>
      <c r="S148" s="23"/>
    </row>
    <row r="149" spans="1:19" x14ac:dyDescent="0.2">
      <c r="A149" t="s">
        <v>54</v>
      </c>
    </row>
    <row r="150" spans="1:19" x14ac:dyDescent="0.2">
      <c r="A150" t="s">
        <v>90</v>
      </c>
    </row>
    <row r="151" spans="1:19" x14ac:dyDescent="0.2">
      <c r="A151" t="s">
        <v>49</v>
      </c>
    </row>
    <row r="152" spans="1:19" x14ac:dyDescent="0.2">
      <c r="A152" t="s">
        <v>98</v>
      </c>
    </row>
    <row r="153" spans="1:19" x14ac:dyDescent="0.2">
      <c r="A153" t="s">
        <v>47</v>
      </c>
    </row>
    <row r="154" spans="1:19" x14ac:dyDescent="0.2">
      <c r="A154" t="s">
        <v>128</v>
      </c>
    </row>
    <row r="155" spans="1:19" x14ac:dyDescent="0.2">
      <c r="A155" t="s">
        <v>42</v>
      </c>
    </row>
    <row r="156" spans="1:19" x14ac:dyDescent="0.2">
      <c r="A156" t="s">
        <v>91</v>
      </c>
    </row>
    <row r="157" spans="1:19" x14ac:dyDescent="0.2">
      <c r="A157" t="s">
        <v>43</v>
      </c>
    </row>
    <row r="158" spans="1:19" x14ac:dyDescent="0.2">
      <c r="A158" t="s">
        <v>46</v>
      </c>
    </row>
    <row r="159" spans="1:19" x14ac:dyDescent="0.2">
      <c r="A159" t="s">
        <v>129</v>
      </c>
    </row>
    <row r="160" spans="1:19" x14ac:dyDescent="0.2">
      <c r="A160" t="s">
        <v>97</v>
      </c>
    </row>
    <row r="161" spans="1:1" x14ac:dyDescent="0.2">
      <c r="A161" t="s">
        <v>99</v>
      </c>
    </row>
    <row r="162" spans="1:1" x14ac:dyDescent="0.2">
      <c r="A162" t="s">
        <v>92</v>
      </c>
    </row>
    <row r="163" spans="1:1" x14ac:dyDescent="0.2">
      <c r="A163" t="s">
        <v>93</v>
      </c>
    </row>
    <row r="164" spans="1:1" x14ac:dyDescent="0.2">
      <c r="A164" t="s">
        <v>94</v>
      </c>
    </row>
    <row r="165" spans="1:1" x14ac:dyDescent="0.2">
      <c r="A165" t="s">
        <v>37</v>
      </c>
    </row>
    <row r="166" spans="1:1" x14ac:dyDescent="0.2">
      <c r="A166" t="s">
        <v>95</v>
      </c>
    </row>
    <row r="168" spans="1:1" x14ac:dyDescent="0.2">
      <c r="A168" s="1" t="s">
        <v>50</v>
      </c>
    </row>
    <row r="169" spans="1:1" x14ac:dyDescent="0.2">
      <c r="A169" t="s">
        <v>96</v>
      </c>
    </row>
    <row r="170" spans="1:1" x14ac:dyDescent="0.2">
      <c r="A170" t="s">
        <v>51</v>
      </c>
    </row>
    <row r="171" spans="1:1" x14ac:dyDescent="0.2">
      <c r="A171" s="3" t="s">
        <v>130</v>
      </c>
    </row>
    <row r="172" spans="1:1" x14ac:dyDescent="0.2">
      <c r="A172" s="3" t="s">
        <v>131</v>
      </c>
    </row>
    <row r="173" spans="1:1" x14ac:dyDescent="0.2">
      <c r="A173" t="s">
        <v>52</v>
      </c>
    </row>
    <row r="174" spans="1:1" x14ac:dyDescent="0.2">
      <c r="A174" t="s">
        <v>132</v>
      </c>
    </row>
    <row r="175" spans="1:1" x14ac:dyDescent="0.2">
      <c r="A175" t="s">
        <v>53</v>
      </c>
    </row>
    <row r="176" spans="1:1" x14ac:dyDescent="0.2">
      <c r="A176" t="s">
        <v>106</v>
      </c>
    </row>
  </sheetData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AAABDF-5202-F448-984B-48676A478145}">
  <dimension ref="A1:U168"/>
  <sheetViews>
    <sheetView workbookViewId="0">
      <pane xSplit="1" ySplit="2" topLeftCell="B131" activePane="bottomRight" state="frozen"/>
      <selection pane="topRight" activeCell="B1" sqref="B1"/>
      <selection pane="bottomLeft" activeCell="A3" sqref="A3"/>
      <selection pane="bottomRight" activeCell="G135" sqref="G135:G145"/>
    </sheetView>
  </sheetViews>
  <sheetFormatPr baseColWidth="10" defaultRowHeight="16" x14ac:dyDescent="0.2"/>
  <cols>
    <col min="1" max="1" width="40.33203125" customWidth="1"/>
    <col min="2" max="2" width="13" customWidth="1"/>
    <col min="6" max="6" width="16" bestFit="1" customWidth="1"/>
    <col min="7" max="7" width="16" customWidth="1"/>
    <col min="8" max="8" width="15.83203125" customWidth="1"/>
    <col min="9" max="18" width="14.6640625" customWidth="1"/>
    <col min="19" max="19" width="18" customWidth="1"/>
  </cols>
  <sheetData>
    <row r="1" spans="1:21" ht="34" x14ac:dyDescent="0.2">
      <c r="A1" s="1" t="s">
        <v>0</v>
      </c>
      <c r="B1" s="2" t="s">
        <v>1</v>
      </c>
      <c r="C1" s="2"/>
      <c r="D1" s="2"/>
      <c r="E1" s="2"/>
      <c r="F1" s="36" t="s">
        <v>112</v>
      </c>
      <c r="G1" s="53" t="s">
        <v>114</v>
      </c>
      <c r="H1" s="2" t="s">
        <v>2</v>
      </c>
      <c r="I1" s="3" t="s">
        <v>3</v>
      </c>
      <c r="J1" s="3"/>
      <c r="K1" s="3"/>
      <c r="L1" s="3"/>
      <c r="M1" s="3"/>
      <c r="N1" s="3"/>
      <c r="O1" s="3"/>
      <c r="P1" s="3"/>
      <c r="Q1" s="3"/>
      <c r="R1" s="3"/>
    </row>
    <row r="2" spans="1:21" s="15" customFormat="1" x14ac:dyDescent="0.2">
      <c r="A2" s="15" t="s">
        <v>4</v>
      </c>
      <c r="B2" s="15">
        <v>2010</v>
      </c>
      <c r="C2" s="15">
        <v>2020</v>
      </c>
      <c r="D2" s="15">
        <v>2022</v>
      </c>
      <c r="E2" s="15">
        <v>2024</v>
      </c>
      <c r="I2" s="15">
        <v>2027</v>
      </c>
      <c r="J2" s="15">
        <f>I2+1</f>
        <v>2028</v>
      </c>
      <c r="K2" s="15">
        <f t="shared" ref="K2:Q2" si="0">J2+1</f>
        <v>2029</v>
      </c>
      <c r="L2" s="15">
        <f t="shared" si="0"/>
        <v>2030</v>
      </c>
      <c r="M2" s="15">
        <f t="shared" si="0"/>
        <v>2031</v>
      </c>
      <c r="N2" s="15">
        <f t="shared" si="0"/>
        <v>2032</v>
      </c>
      <c r="O2" s="15">
        <f t="shared" si="0"/>
        <v>2033</v>
      </c>
      <c r="P2" s="15">
        <f t="shared" si="0"/>
        <v>2034</v>
      </c>
      <c r="Q2" s="15">
        <f t="shared" si="0"/>
        <v>2035</v>
      </c>
      <c r="R2" s="15">
        <f>Q2+1</f>
        <v>2036</v>
      </c>
      <c r="S2" s="15" t="s">
        <v>110</v>
      </c>
    </row>
    <row r="3" spans="1:21" x14ac:dyDescent="0.2">
      <c r="A3" t="s">
        <v>5</v>
      </c>
      <c r="B3" s="4">
        <v>2351496</v>
      </c>
      <c r="C3" s="4">
        <v>2766953</v>
      </c>
      <c r="D3" s="4">
        <v>2854375</v>
      </c>
      <c r="E3" s="4">
        <v>3124079</v>
      </c>
      <c r="F3" s="9"/>
      <c r="G3" s="9"/>
      <c r="H3" s="5"/>
      <c r="I3" s="4">
        <f>3124079+3*42500</f>
        <v>3251579</v>
      </c>
      <c r="J3" s="4">
        <f>I3+42500</f>
        <v>3294079</v>
      </c>
      <c r="K3" s="4">
        <f t="shared" ref="K3:R3" si="1">J3+42500</f>
        <v>3336579</v>
      </c>
      <c r="L3" s="4">
        <f t="shared" si="1"/>
        <v>3379079</v>
      </c>
      <c r="M3" s="4">
        <f t="shared" si="1"/>
        <v>3421579</v>
      </c>
      <c r="N3" s="4">
        <f t="shared" si="1"/>
        <v>3464079</v>
      </c>
      <c r="O3" s="4">
        <f t="shared" si="1"/>
        <v>3506579</v>
      </c>
      <c r="P3" s="4">
        <f t="shared" si="1"/>
        <v>3549079</v>
      </c>
      <c r="Q3" s="4">
        <f t="shared" si="1"/>
        <v>3591579</v>
      </c>
      <c r="R3" s="4">
        <f t="shared" si="1"/>
        <v>3634079</v>
      </c>
      <c r="S3" t="s">
        <v>6</v>
      </c>
    </row>
    <row r="4" spans="1:21" ht="19" customHeight="1" x14ac:dyDescent="0.2">
      <c r="A4" t="s">
        <v>7</v>
      </c>
      <c r="B4" s="6">
        <f>B13/B3</f>
        <v>0.60131933033269036</v>
      </c>
      <c r="C4" s="6">
        <f>C13/C3</f>
        <v>0.45757553525484529</v>
      </c>
      <c r="D4" s="6">
        <f>D13/D3</f>
        <v>0.44091964090212393</v>
      </c>
      <c r="E4" s="6">
        <f>E13/E3</f>
        <v>0.40831361818955281</v>
      </c>
      <c r="F4" s="52">
        <f>E4/B4-1</f>
        <v>-0.32097041024168271</v>
      </c>
      <c r="G4" s="52"/>
      <c r="H4" s="8">
        <f>F4/14</f>
        <v>-2.292645787440591E-2</v>
      </c>
      <c r="I4" s="9">
        <f>E4*(1+3*H4)</f>
        <v>0.38023006328864567</v>
      </c>
      <c r="J4" s="9">
        <f>I4*(1+$H$4)</f>
        <v>0.37151273476007585</v>
      </c>
      <c r="K4" s="9">
        <f t="shared" ref="K4:R4" si="2">J4*(1+$H$4)</f>
        <v>0.36299526369679364</v>
      </c>
      <c r="L4" s="9">
        <f t="shared" si="2"/>
        <v>0.35467306807504023</v>
      </c>
      <c r="M4" s="9">
        <f t="shared" si="2"/>
        <v>0.34654167092063148</v>
      </c>
      <c r="N4" s="9">
        <f t="shared" si="2"/>
        <v>0.33859669790054336</v>
      </c>
      <c r="O4" s="9">
        <f t="shared" si="2"/>
        <v>0.33083387496971361</v>
      </c>
      <c r="P4" s="9">
        <f t="shared" si="2"/>
        <v>0.32324902607179401</v>
      </c>
      <c r="Q4" s="9">
        <f t="shared" si="2"/>
        <v>0.31583807089261628</v>
      </c>
      <c r="R4" s="9">
        <f t="shared" si="2"/>
        <v>0.30859702266516309</v>
      </c>
      <c r="T4" s="9"/>
    </row>
    <row r="5" spans="1:21" s="21" customFormat="1" ht="17" customHeight="1" x14ac:dyDescent="0.2">
      <c r="A5" s="16" t="s">
        <v>12</v>
      </c>
      <c r="B5" s="17"/>
      <c r="C5" s="17"/>
      <c r="D5" s="17"/>
      <c r="E5" s="17"/>
      <c r="F5" s="18"/>
      <c r="H5" s="19"/>
      <c r="I5" s="20"/>
      <c r="J5" s="20"/>
      <c r="K5" s="20"/>
      <c r="L5" s="20"/>
      <c r="M5" s="20"/>
      <c r="N5" s="20"/>
      <c r="O5" s="20"/>
      <c r="P5" s="20"/>
      <c r="Q5" s="20"/>
      <c r="R5" s="20"/>
    </row>
    <row r="6" spans="1:21" x14ac:dyDescent="0.2">
      <c r="A6" s="10" t="s">
        <v>8</v>
      </c>
      <c r="B6" s="4">
        <v>567817</v>
      </c>
      <c r="C6" s="4">
        <f>615596+44138</f>
        <v>659734</v>
      </c>
      <c r="D6" s="4">
        <v>691083</v>
      </c>
      <c r="E6" s="4">
        <v>509495</v>
      </c>
      <c r="F6" s="7">
        <f>D6/B6-1</f>
        <v>0.21708754757254534</v>
      </c>
      <c r="G6" s="7">
        <f>E6/(E6+E9)</f>
        <v>0.7372414022628252</v>
      </c>
      <c r="H6" s="8">
        <f>F6/12</f>
        <v>1.8090628964378779E-2</v>
      </c>
      <c r="I6" s="11">
        <f>750000-I9</f>
        <v>580901.50889749289</v>
      </c>
      <c r="J6" s="11">
        <f t="shared" ref="J6:L6" si="3">750000-J9</f>
        <v>584778.33833038015</v>
      </c>
      <c r="K6" s="11">
        <f t="shared" si="3"/>
        <v>588566.28579658805</v>
      </c>
      <c r="L6" s="11">
        <f t="shared" si="3"/>
        <v>592267.38904478145</v>
      </c>
      <c r="M6" s="11">
        <f>M13-M10-M9-M7</f>
        <v>591603.34295220964</v>
      </c>
      <c r="N6" s="11">
        <f t="shared" ref="N6:R6" si="4">N13-N10-N9-N7</f>
        <v>582342.69202769268</v>
      </c>
      <c r="O6" s="11">
        <f t="shared" si="4"/>
        <v>572964.43505192571</v>
      </c>
      <c r="P6" s="11">
        <f t="shared" si="4"/>
        <v>563478.83221148769</v>
      </c>
      <c r="Q6" s="11">
        <f t="shared" si="4"/>
        <v>553895.73504986905</v>
      </c>
      <c r="R6" s="11">
        <f t="shared" si="4"/>
        <v>544224.59981196595</v>
      </c>
    </row>
    <row r="7" spans="1:21" x14ac:dyDescent="0.2">
      <c r="A7" s="10" t="s">
        <v>89</v>
      </c>
      <c r="B7" s="4">
        <v>284468</v>
      </c>
      <c r="C7" s="4">
        <v>244362</v>
      </c>
      <c r="D7" s="4">
        <v>233051</v>
      </c>
      <c r="E7" s="4">
        <v>243169</v>
      </c>
      <c r="F7" s="7">
        <f>E7/B7-1</f>
        <v>-0.14517977417495109</v>
      </c>
      <c r="G7" s="7"/>
      <c r="H7" s="8">
        <f t="shared" ref="H7:H13" si="5">F7/12</f>
        <v>-1.2098314514579258E-2</v>
      </c>
      <c r="I7" s="54">
        <v>250000</v>
      </c>
      <c r="J7" s="54">
        <f>$I$7</f>
        <v>250000</v>
      </c>
      <c r="K7" s="54">
        <f t="shared" ref="K7:R7" si="6">$I$7</f>
        <v>250000</v>
      </c>
      <c r="L7" s="54">
        <f t="shared" si="6"/>
        <v>250000</v>
      </c>
      <c r="M7" s="54">
        <f t="shared" si="6"/>
        <v>250000</v>
      </c>
      <c r="N7" s="54">
        <f t="shared" si="6"/>
        <v>250000</v>
      </c>
      <c r="O7" s="54">
        <f t="shared" si="6"/>
        <v>250000</v>
      </c>
      <c r="P7" s="54">
        <f t="shared" si="6"/>
        <v>250000</v>
      </c>
      <c r="Q7" s="54">
        <f t="shared" si="6"/>
        <v>250000</v>
      </c>
      <c r="R7" s="54">
        <f t="shared" si="6"/>
        <v>250000</v>
      </c>
      <c r="S7" t="s">
        <v>31</v>
      </c>
      <c r="T7" t="s">
        <v>117</v>
      </c>
    </row>
    <row r="8" spans="1:21" x14ac:dyDescent="0.2">
      <c r="A8" s="10" t="s">
        <v>9</v>
      </c>
      <c r="B8" s="4">
        <f>396384</f>
        <v>396384</v>
      </c>
      <c r="C8" s="4">
        <f>35340</f>
        <v>35340</v>
      </c>
      <c r="D8" s="4">
        <f>144603</f>
        <v>144603</v>
      </c>
      <c r="E8" s="4">
        <v>151539</v>
      </c>
      <c r="F8" s="7">
        <f t="shared" ref="F8" si="7">D8/B8-1</f>
        <v>-0.6351946597239041</v>
      </c>
      <c r="G8" s="7"/>
      <c r="H8" s="8">
        <f t="shared" si="5"/>
        <v>-5.2932888310325339E-2</v>
      </c>
      <c r="I8" s="13">
        <f>I13-I10-I7-750000</f>
        <v>46348.088958031265</v>
      </c>
      <c r="J8" s="13">
        <f>J13-J10-J7-750000</f>
        <v>33792.297805735841</v>
      </c>
      <c r="K8" s="13">
        <f t="shared" ref="K8" si="8">K13-K10-K7-750000</f>
        <v>21162.37395018409</v>
      </c>
      <c r="L8" s="13">
        <f>L13-L10-L7-750000</f>
        <v>8468.3161979389843</v>
      </c>
      <c r="M8" s="13"/>
      <c r="N8" s="13"/>
      <c r="O8" s="13"/>
      <c r="P8" s="13"/>
      <c r="Q8" s="13"/>
      <c r="R8" s="13"/>
    </row>
    <row r="9" spans="1:21" x14ac:dyDescent="0.2">
      <c r="A9" s="14" t="s">
        <v>111</v>
      </c>
      <c r="B9" s="49" t="s">
        <v>113</v>
      </c>
      <c r="C9" s="49" t="s">
        <v>113</v>
      </c>
      <c r="D9" s="49" t="s">
        <v>113</v>
      </c>
      <c r="E9" s="49">
        <f>D6-E6</f>
        <v>181588</v>
      </c>
      <c r="F9" s="7">
        <f>F6</f>
        <v>0.21708754757254534</v>
      </c>
      <c r="G9" s="7">
        <f>E9/(E9+E6)</f>
        <v>0.26275859773717486</v>
      </c>
      <c r="H9" s="51"/>
      <c r="I9" s="57">
        <f>E9*(1+3*H4)</f>
        <v>169098.49110250713</v>
      </c>
      <c r="J9" s="57">
        <f>I9*(1+$H$4)</f>
        <v>165221.66166961991</v>
      </c>
      <c r="K9" s="57">
        <f t="shared" ref="K9:R9" si="9">J9*(1+$H$4)</f>
        <v>161433.714203412</v>
      </c>
      <c r="L9" s="57">
        <f t="shared" si="9"/>
        <v>157732.61095521858</v>
      </c>
      <c r="M9" s="57">
        <f t="shared" si="9"/>
        <v>154116.36089473369</v>
      </c>
      <c r="N9" s="57">
        <f t="shared" si="9"/>
        <v>150583.01863892382</v>
      </c>
      <c r="O9" s="57">
        <f t="shared" si="9"/>
        <v>147130.68340549764</v>
      </c>
      <c r="P9" s="57">
        <f t="shared" si="9"/>
        <v>143757.49799036892</v>
      </c>
      <c r="Q9" s="57">
        <f t="shared" si="9"/>
        <v>140461.64776856275</v>
      </c>
      <c r="R9" s="57">
        <f t="shared" si="9"/>
        <v>137241.35971802715</v>
      </c>
      <c r="T9" s="55" t="s">
        <v>118</v>
      </c>
      <c r="U9" t="s">
        <v>119</v>
      </c>
    </row>
    <row r="10" spans="1:21" ht="17" customHeight="1" x14ac:dyDescent="0.2">
      <c r="A10" s="14" t="s">
        <v>10</v>
      </c>
      <c r="B10" s="4">
        <v>165331</v>
      </c>
      <c r="C10" s="4">
        <v>326654</v>
      </c>
      <c r="D10" s="4">
        <v>189813</v>
      </c>
      <c r="E10" s="4">
        <f>D10</f>
        <v>189813</v>
      </c>
      <c r="F10" s="7">
        <f>D10/B10-1</f>
        <v>0.14807870272362722</v>
      </c>
      <c r="G10" s="7"/>
      <c r="H10" s="8">
        <f>F10/12</f>
        <v>1.2339891893635602E-2</v>
      </c>
      <c r="I10" s="54">
        <v>190000</v>
      </c>
      <c r="J10" s="54">
        <f>I10</f>
        <v>190000</v>
      </c>
      <c r="K10" s="54">
        <f t="shared" ref="K10:R10" si="10">J10</f>
        <v>190000</v>
      </c>
      <c r="L10" s="54">
        <f t="shared" si="10"/>
        <v>190000</v>
      </c>
      <c r="M10" s="54">
        <f t="shared" si="10"/>
        <v>190000</v>
      </c>
      <c r="N10" s="54">
        <f t="shared" si="10"/>
        <v>190000</v>
      </c>
      <c r="O10" s="54">
        <f t="shared" si="10"/>
        <v>190000</v>
      </c>
      <c r="P10" s="54">
        <f t="shared" si="10"/>
        <v>190000</v>
      </c>
      <c r="Q10" s="54">
        <f t="shared" si="10"/>
        <v>190000</v>
      </c>
      <c r="R10" s="54">
        <f t="shared" si="10"/>
        <v>190000</v>
      </c>
      <c r="T10" t="s">
        <v>117</v>
      </c>
    </row>
    <row r="11" spans="1:21" ht="17" customHeight="1" x14ac:dyDescent="0.2">
      <c r="A11" t="s">
        <v>115</v>
      </c>
      <c r="B11" s="49"/>
      <c r="C11" s="49"/>
      <c r="D11" s="49"/>
      <c r="E11" s="49"/>
      <c r="F11" s="50"/>
      <c r="G11" s="50"/>
      <c r="H11" s="51"/>
      <c r="I11" s="11">
        <f>SUM(I6:I10)</f>
        <v>1236348.0889580313</v>
      </c>
      <c r="J11" s="11">
        <f t="shared" ref="J11:R11" si="11">SUM(J6:J10)</f>
        <v>1223792.2978057358</v>
      </c>
      <c r="K11" s="11">
        <f t="shared" si="11"/>
        <v>1211162.3739501841</v>
      </c>
      <c r="L11" s="11">
        <f t="shared" si="11"/>
        <v>1198468.316197939</v>
      </c>
      <c r="M11" s="11">
        <f>SUM(M6:M10)</f>
        <v>1185719.7038469433</v>
      </c>
      <c r="N11" s="11">
        <f t="shared" si="11"/>
        <v>1172925.7106666164</v>
      </c>
      <c r="O11" s="11">
        <f t="shared" si="11"/>
        <v>1160095.1184574233</v>
      </c>
      <c r="P11" s="11">
        <f t="shared" si="11"/>
        <v>1147236.3302018566</v>
      </c>
      <c r="Q11" s="11">
        <f t="shared" si="11"/>
        <v>1134357.3828184318</v>
      </c>
      <c r="R11" s="11">
        <f t="shared" si="11"/>
        <v>1121465.9595299931</v>
      </c>
    </row>
    <row r="12" spans="1:21" ht="17" customHeight="1" x14ac:dyDescent="0.2">
      <c r="A12" t="s">
        <v>116</v>
      </c>
      <c r="B12" s="49"/>
      <c r="C12" s="49"/>
      <c r="D12" s="49"/>
      <c r="E12" s="49">
        <f>E9+E6</f>
        <v>691083</v>
      </c>
      <c r="F12" s="50"/>
      <c r="G12" s="50"/>
      <c r="H12" s="51"/>
      <c r="I12" s="54">
        <f>I9+I6</f>
        <v>750000</v>
      </c>
      <c r="J12" s="54">
        <f>I12</f>
        <v>750000</v>
      </c>
      <c r="K12" s="54">
        <f>J12</f>
        <v>750000</v>
      </c>
      <c r="L12" s="54">
        <f t="shared" ref="L12:R12" si="12">L9+L6</f>
        <v>750000</v>
      </c>
      <c r="M12" s="54">
        <f t="shared" si="12"/>
        <v>745719.70384694333</v>
      </c>
      <c r="N12" s="54">
        <f t="shared" si="12"/>
        <v>732925.71066661645</v>
      </c>
      <c r="O12" s="54">
        <f t="shared" si="12"/>
        <v>720095.11845742329</v>
      </c>
      <c r="P12" s="54">
        <f t="shared" si="12"/>
        <v>707236.33020185656</v>
      </c>
      <c r="Q12" s="54">
        <f t="shared" si="12"/>
        <v>694357.38281843183</v>
      </c>
      <c r="R12" s="54">
        <f t="shared" si="12"/>
        <v>681465.95952999312</v>
      </c>
      <c r="S12" t="s">
        <v>31</v>
      </c>
      <c r="T12" t="s">
        <v>117</v>
      </c>
    </row>
    <row r="13" spans="1:21" x14ac:dyDescent="0.2">
      <c r="A13" t="s">
        <v>11</v>
      </c>
      <c r="B13" s="4">
        <f>SUM(B6:B10)</f>
        <v>1414000</v>
      </c>
      <c r="C13" s="4">
        <f>SUM(C6:C10)</f>
        <v>1266090</v>
      </c>
      <c r="D13" s="4">
        <f>SUM(D6:D10)</f>
        <v>1258550</v>
      </c>
      <c r="E13" s="4">
        <f>SUM(E6:E10)</f>
        <v>1275604</v>
      </c>
      <c r="F13" s="7">
        <f>E13/B13-1</f>
        <v>-9.7875530410183931E-2</v>
      </c>
      <c r="G13" s="7"/>
      <c r="H13" s="8">
        <f t="shared" si="5"/>
        <v>-8.1562942008486603E-3</v>
      </c>
      <c r="I13" s="4">
        <f t="shared" ref="I13:R13" si="13">I3*I4</f>
        <v>1236348.0889580313</v>
      </c>
      <c r="J13" s="4">
        <f t="shared" si="13"/>
        <v>1223792.2978057358</v>
      </c>
      <c r="K13" s="4">
        <f t="shared" si="13"/>
        <v>1211162.3739501841</v>
      </c>
      <c r="L13" s="4">
        <f t="shared" si="13"/>
        <v>1198468.316197939</v>
      </c>
      <c r="M13" s="4">
        <f t="shared" si="13"/>
        <v>1185719.7038469433</v>
      </c>
      <c r="N13" s="4">
        <f t="shared" si="13"/>
        <v>1172925.7106666164</v>
      </c>
      <c r="O13" s="4">
        <f t="shared" si="13"/>
        <v>1160095.1184574233</v>
      </c>
      <c r="P13" s="4">
        <f t="shared" si="13"/>
        <v>1147236.3302018566</v>
      </c>
      <c r="Q13" s="4">
        <f t="shared" si="13"/>
        <v>1134357.3828184318</v>
      </c>
      <c r="R13" s="4">
        <f t="shared" si="13"/>
        <v>1121465.9595299931</v>
      </c>
      <c r="S13" s="13">
        <f>SUM(I13:R13)</f>
        <v>11791571.282433156</v>
      </c>
      <c r="T13" t="s">
        <v>120</v>
      </c>
    </row>
    <row r="14" spans="1:21" s="21" customFormat="1" ht="17" customHeight="1" x14ac:dyDescent="0.2">
      <c r="A14" s="16" t="s">
        <v>13</v>
      </c>
      <c r="B14" s="17"/>
      <c r="C14" s="17"/>
      <c r="D14" s="17"/>
      <c r="E14" s="17"/>
      <c r="F14" s="18"/>
      <c r="G14" s="18"/>
      <c r="H14" s="19"/>
      <c r="I14" s="20"/>
      <c r="J14" s="20"/>
      <c r="K14" s="20"/>
      <c r="L14" s="20"/>
      <c r="M14" s="20"/>
      <c r="N14" s="20"/>
      <c r="O14" s="20"/>
      <c r="P14" s="20"/>
      <c r="Q14" s="20"/>
      <c r="R14" s="20"/>
    </row>
    <row r="15" spans="1:21" x14ac:dyDescent="0.2">
      <c r="A15" s="10" t="s">
        <v>8</v>
      </c>
      <c r="B15" s="4"/>
      <c r="C15" s="4"/>
      <c r="D15" s="4"/>
      <c r="E15" s="4"/>
      <c r="F15" s="7"/>
      <c r="G15" s="7"/>
      <c r="H15" s="8"/>
      <c r="I15" s="11">
        <f>I6</f>
        <v>580901.50889749289</v>
      </c>
      <c r="J15" s="11">
        <f t="shared" ref="J15:R15" si="14">750000-J18</f>
        <v>584778.33833038015</v>
      </c>
      <c r="K15" s="11">
        <f t="shared" si="14"/>
        <v>588566.28579658805</v>
      </c>
      <c r="L15" s="11">
        <f t="shared" si="14"/>
        <v>592267.38904478145</v>
      </c>
      <c r="M15" s="11">
        <f t="shared" si="14"/>
        <v>595883.63910526631</v>
      </c>
      <c r="N15" s="11">
        <f t="shared" si="14"/>
        <v>599416.98136107624</v>
      </c>
      <c r="O15" s="11">
        <f t="shared" si="14"/>
        <v>602869.31659450242</v>
      </c>
      <c r="P15" s="11">
        <f t="shared" si="14"/>
        <v>606242.50200963113</v>
      </c>
      <c r="Q15" s="11">
        <f t="shared" si="14"/>
        <v>609538.35223143722</v>
      </c>
      <c r="R15" s="11">
        <f t="shared" si="14"/>
        <v>612758.64028197282</v>
      </c>
    </row>
    <row r="16" spans="1:21" x14ac:dyDescent="0.2">
      <c r="A16" s="10" t="s">
        <v>89</v>
      </c>
      <c r="B16" s="4"/>
      <c r="C16" s="4"/>
      <c r="D16" s="4"/>
      <c r="E16" s="4"/>
      <c r="F16" s="7"/>
      <c r="G16" s="7"/>
      <c r="H16" s="8"/>
      <c r="I16" s="54">
        <v>250000</v>
      </c>
      <c r="J16" s="12"/>
      <c r="K16" s="12"/>
      <c r="L16" s="12"/>
      <c r="M16" s="12"/>
      <c r="N16" s="12"/>
      <c r="O16" s="12"/>
      <c r="P16" s="12"/>
      <c r="Q16" s="12"/>
      <c r="R16" s="12"/>
    </row>
    <row r="17" spans="1:20" x14ac:dyDescent="0.2">
      <c r="A17" s="10" t="s">
        <v>9</v>
      </c>
      <c r="B17" s="4"/>
      <c r="C17" s="4"/>
      <c r="D17" s="4"/>
      <c r="E17" s="4"/>
      <c r="F17" s="7"/>
      <c r="G17" s="7"/>
      <c r="H17" s="8"/>
      <c r="I17" s="58">
        <f>I8</f>
        <v>46348.088958031265</v>
      </c>
      <c r="J17" s="58">
        <f>J22-J15-J19</f>
        <v>449013.95947535569</v>
      </c>
      <c r="K17" s="58">
        <f t="shared" ref="K17:R17" si="15">K22-K15-K19</f>
        <v>432596.08815359604</v>
      </c>
      <c r="L17" s="58">
        <f t="shared" si="15"/>
        <v>416200.92715315754</v>
      </c>
      <c r="M17" s="58">
        <f t="shared" si="15"/>
        <v>399836.06474167702</v>
      </c>
      <c r="N17" s="58">
        <f t="shared" si="15"/>
        <v>383508.72930554021</v>
      </c>
      <c r="O17" s="58">
        <f t="shared" si="15"/>
        <v>367225.80186292087</v>
      </c>
      <c r="P17" s="58">
        <f t="shared" si="15"/>
        <v>350993.82819222542</v>
      </c>
      <c r="Q17" s="58">
        <f t="shared" si="15"/>
        <v>334819.0305869946</v>
      </c>
      <c r="R17" s="58">
        <f t="shared" si="15"/>
        <v>318707.3192480203</v>
      </c>
    </row>
    <row r="18" spans="1:20" x14ac:dyDescent="0.2">
      <c r="A18" s="14" t="s">
        <v>111</v>
      </c>
      <c r="B18" s="49"/>
      <c r="C18" s="49"/>
      <c r="D18" s="49"/>
      <c r="E18" s="4"/>
      <c r="F18" s="50"/>
      <c r="G18" s="50"/>
      <c r="H18" s="51"/>
      <c r="I18" s="13">
        <f>I9</f>
        <v>169098.49110250713</v>
      </c>
      <c r="J18" s="13">
        <f t="shared" ref="J18:R18" si="16">J9</f>
        <v>165221.66166961991</v>
      </c>
      <c r="K18" s="13">
        <f t="shared" si="16"/>
        <v>161433.714203412</v>
      </c>
      <c r="L18" s="13">
        <f t="shared" si="16"/>
        <v>157732.61095521858</v>
      </c>
      <c r="M18" s="13">
        <f t="shared" si="16"/>
        <v>154116.36089473369</v>
      </c>
      <c r="N18" s="13">
        <f t="shared" si="16"/>
        <v>150583.01863892382</v>
      </c>
      <c r="O18" s="13">
        <f t="shared" si="16"/>
        <v>147130.68340549764</v>
      </c>
      <c r="P18" s="13">
        <f t="shared" si="16"/>
        <v>143757.49799036892</v>
      </c>
      <c r="Q18" s="13">
        <f t="shared" si="16"/>
        <v>140461.64776856275</v>
      </c>
      <c r="R18" s="13">
        <f t="shared" si="16"/>
        <v>137241.35971802715</v>
      </c>
      <c r="T18" s="55" t="s">
        <v>118</v>
      </c>
    </row>
    <row r="19" spans="1:20" ht="17" customHeight="1" x14ac:dyDescent="0.2">
      <c r="A19" s="14" t="s">
        <v>10</v>
      </c>
      <c r="B19" s="4"/>
      <c r="C19" s="4"/>
      <c r="D19" s="4"/>
      <c r="E19" s="4"/>
      <c r="F19" s="7"/>
      <c r="G19" s="7"/>
      <c r="H19" s="8"/>
      <c r="I19" s="54">
        <f>I10</f>
        <v>190000</v>
      </c>
      <c r="J19" s="54">
        <f>I19</f>
        <v>190000</v>
      </c>
      <c r="K19" s="54">
        <f t="shared" ref="K19:R19" si="17">J19</f>
        <v>190000</v>
      </c>
      <c r="L19" s="54">
        <f t="shared" si="17"/>
        <v>190000</v>
      </c>
      <c r="M19" s="54">
        <f t="shared" si="17"/>
        <v>190000</v>
      </c>
      <c r="N19" s="54">
        <f t="shared" si="17"/>
        <v>190000</v>
      </c>
      <c r="O19" s="54">
        <f t="shared" si="17"/>
        <v>190000</v>
      </c>
      <c r="P19" s="54">
        <f t="shared" si="17"/>
        <v>190000</v>
      </c>
      <c r="Q19" s="54">
        <f t="shared" si="17"/>
        <v>190000</v>
      </c>
      <c r="R19" s="54">
        <f t="shared" si="17"/>
        <v>190000</v>
      </c>
      <c r="T19" t="s">
        <v>117</v>
      </c>
    </row>
    <row r="20" spans="1:20" ht="17" customHeight="1" x14ac:dyDescent="0.2">
      <c r="A20" t="s">
        <v>115</v>
      </c>
      <c r="B20" s="49"/>
      <c r="C20" s="49"/>
      <c r="D20" s="49"/>
      <c r="E20" s="49"/>
      <c r="F20" s="50"/>
      <c r="G20" s="50"/>
      <c r="H20" s="51"/>
      <c r="I20" s="11">
        <f>SUM(I15:I19)</f>
        <v>1236348.0889580313</v>
      </c>
      <c r="J20" s="11">
        <f t="shared" ref="J20:R20" si="18">SUM(J15:J19)</f>
        <v>1389013.9594753557</v>
      </c>
      <c r="K20" s="11">
        <f t="shared" si="18"/>
        <v>1372596.088153596</v>
      </c>
      <c r="L20" s="11">
        <f t="shared" si="18"/>
        <v>1356200.9271531575</v>
      </c>
      <c r="M20" s="11">
        <f t="shared" si="18"/>
        <v>1339836.0647416771</v>
      </c>
      <c r="N20" s="11">
        <f t="shared" si="18"/>
        <v>1323508.7293055402</v>
      </c>
      <c r="O20" s="11">
        <f t="shared" si="18"/>
        <v>1307225.8018629209</v>
      </c>
      <c r="P20" s="11">
        <f t="shared" si="18"/>
        <v>1290993.8281922254</v>
      </c>
      <c r="Q20" s="11">
        <f t="shared" si="18"/>
        <v>1274819.0305869945</v>
      </c>
      <c r="R20" s="11">
        <f t="shared" si="18"/>
        <v>1258707.3192480202</v>
      </c>
    </row>
    <row r="21" spans="1:20" ht="17" customHeight="1" x14ac:dyDescent="0.2">
      <c r="A21" t="s">
        <v>116</v>
      </c>
      <c r="B21" s="49"/>
      <c r="C21" s="49"/>
      <c r="D21" s="49"/>
      <c r="E21" s="49">
        <f>E18+E15</f>
        <v>0</v>
      </c>
      <c r="F21" s="50"/>
      <c r="G21" s="50"/>
      <c r="H21" s="51"/>
      <c r="I21" s="54">
        <f>I18+I15</f>
        <v>750000</v>
      </c>
      <c r="J21" s="54">
        <f>I21</f>
        <v>750000</v>
      </c>
      <c r="K21" s="54">
        <f>J21</f>
        <v>750000</v>
      </c>
      <c r="L21" s="54">
        <f t="shared" ref="L21:R21" si="19">L18+L15</f>
        <v>750000</v>
      </c>
      <c r="M21" s="54">
        <f t="shared" si="19"/>
        <v>750000</v>
      </c>
      <c r="N21" s="54">
        <f t="shared" si="19"/>
        <v>750000</v>
      </c>
      <c r="O21" s="54">
        <f t="shared" si="19"/>
        <v>750000</v>
      </c>
      <c r="P21" s="54">
        <f t="shared" si="19"/>
        <v>750000</v>
      </c>
      <c r="Q21" s="54">
        <f t="shared" si="19"/>
        <v>750000</v>
      </c>
      <c r="R21" s="54">
        <f t="shared" si="19"/>
        <v>750000</v>
      </c>
      <c r="S21" t="s">
        <v>31</v>
      </c>
      <c r="T21" t="s">
        <v>117</v>
      </c>
    </row>
    <row r="22" spans="1:20" x14ac:dyDescent="0.2">
      <c r="A22" t="s">
        <v>11</v>
      </c>
      <c r="B22" s="4"/>
      <c r="C22" s="4"/>
      <c r="D22" s="4"/>
      <c r="E22" s="4"/>
      <c r="F22" s="7"/>
      <c r="G22" s="7"/>
      <c r="H22" s="8"/>
      <c r="I22" s="4">
        <f>I13</f>
        <v>1236348.0889580313</v>
      </c>
      <c r="J22" s="4">
        <f t="shared" ref="J22:R22" si="20">J4*J3</f>
        <v>1223792.2978057358</v>
      </c>
      <c r="K22" s="4">
        <f t="shared" si="20"/>
        <v>1211162.3739501841</v>
      </c>
      <c r="L22" s="4">
        <f t="shared" si="20"/>
        <v>1198468.316197939</v>
      </c>
      <c r="M22" s="56">
        <f t="shared" si="20"/>
        <v>1185719.7038469433</v>
      </c>
      <c r="N22" s="56">
        <f t="shared" si="20"/>
        <v>1172925.7106666164</v>
      </c>
      <c r="O22" s="56">
        <f t="shared" si="20"/>
        <v>1160095.1184574233</v>
      </c>
      <c r="P22" s="56">
        <f t="shared" si="20"/>
        <v>1147236.3302018566</v>
      </c>
      <c r="Q22" s="56">
        <f t="shared" si="20"/>
        <v>1134357.3828184318</v>
      </c>
      <c r="R22" s="56">
        <f t="shared" si="20"/>
        <v>1121465.9595299931</v>
      </c>
      <c r="S22" s="13">
        <f>SUM(I22:R22)</f>
        <v>11791571.282433156</v>
      </c>
      <c r="T22" t="s">
        <v>121</v>
      </c>
    </row>
    <row r="23" spans="1:20" s="21" customFormat="1" ht="17" customHeight="1" x14ac:dyDescent="0.2">
      <c r="A23" s="16" t="s">
        <v>15</v>
      </c>
      <c r="B23" s="17"/>
      <c r="C23" s="17"/>
      <c r="D23" s="17"/>
      <c r="E23" s="17"/>
      <c r="F23" s="18"/>
      <c r="G23" s="18"/>
      <c r="H23" s="19"/>
      <c r="I23" s="20"/>
      <c r="J23" s="20"/>
      <c r="K23" s="20"/>
      <c r="L23" s="20"/>
      <c r="M23" s="11"/>
      <c r="N23" s="11"/>
      <c r="O23" s="11"/>
      <c r="P23" s="11"/>
      <c r="Q23" s="11"/>
      <c r="R23" s="11"/>
    </row>
    <row r="24" spans="1:20" ht="18" customHeight="1" x14ac:dyDescent="0.2">
      <c r="A24" t="s">
        <v>7</v>
      </c>
      <c r="B24" s="6"/>
      <c r="C24" s="6"/>
      <c r="D24" s="6"/>
      <c r="E24" s="6"/>
      <c r="F24" s="7"/>
      <c r="G24" s="7"/>
      <c r="H24" s="35">
        <f>H134</f>
        <v>-0.03</v>
      </c>
      <c r="I24" s="9">
        <f>I4</f>
        <v>0.38023006328864567</v>
      </c>
      <c r="J24" s="9">
        <f>I24*(1+$H$24)</f>
        <v>0.36882316138998628</v>
      </c>
      <c r="K24" s="9">
        <f t="shared" ref="K24:R24" si="21">J24*(1+$H$24)</f>
        <v>0.35775846654828669</v>
      </c>
      <c r="L24" s="9">
        <f t="shared" si="21"/>
        <v>0.34702571255183806</v>
      </c>
      <c r="M24" s="9">
        <f t="shared" si="21"/>
        <v>0.3366149411752829</v>
      </c>
      <c r="N24" s="9">
        <f t="shared" si="21"/>
        <v>0.32651649294002438</v>
      </c>
      <c r="O24" s="9">
        <f t="shared" si="21"/>
        <v>0.31672099815182364</v>
      </c>
      <c r="P24" s="9">
        <f t="shared" si="21"/>
        <v>0.30721936820726892</v>
      </c>
      <c r="Q24" s="9">
        <f t="shared" si="21"/>
        <v>0.29800278716105083</v>
      </c>
      <c r="R24" s="9">
        <f t="shared" si="21"/>
        <v>0.28906270354621932</v>
      </c>
    </row>
    <row r="25" spans="1:20" x14ac:dyDescent="0.2">
      <c r="A25" s="10" t="s">
        <v>8</v>
      </c>
      <c r="B25" s="4"/>
      <c r="C25" s="4"/>
      <c r="D25" s="4"/>
      <c r="E25" s="4"/>
      <c r="F25" s="7"/>
      <c r="G25" s="7"/>
      <c r="H25" s="8"/>
      <c r="I25" s="11">
        <f>I6</f>
        <v>580901.50889749289</v>
      </c>
      <c r="J25" s="11">
        <f>750000-J28</f>
        <v>585974.46363056812</v>
      </c>
      <c r="K25" s="11">
        <f t="shared" ref="K25:R25" si="22">750000-K28</f>
        <v>590895.22972165106</v>
      </c>
      <c r="L25" s="11">
        <f t="shared" si="22"/>
        <v>595668.37283000152</v>
      </c>
      <c r="M25" s="11">
        <f t="shared" si="22"/>
        <v>600298.32164510153</v>
      </c>
      <c r="N25" s="11">
        <f t="shared" si="22"/>
        <v>604789.37199574849</v>
      </c>
      <c r="O25" s="11">
        <f t="shared" si="22"/>
        <v>609145.69083587604</v>
      </c>
      <c r="P25" s="11">
        <f t="shared" si="22"/>
        <v>613371.32011079974</v>
      </c>
      <c r="Q25" s="11">
        <f t="shared" si="22"/>
        <v>617470.18050747574</v>
      </c>
      <c r="R25" s="11">
        <f t="shared" si="22"/>
        <v>621446.07509225141</v>
      </c>
    </row>
    <row r="26" spans="1:20" x14ac:dyDescent="0.2">
      <c r="A26" s="10" t="s">
        <v>89</v>
      </c>
      <c r="B26" s="4"/>
      <c r="C26" s="4"/>
      <c r="D26" s="4"/>
      <c r="E26" s="4"/>
      <c r="F26" s="7"/>
      <c r="G26" s="7"/>
      <c r="H26" s="8"/>
      <c r="I26" s="54">
        <v>250000</v>
      </c>
      <c r="J26" s="12"/>
      <c r="K26" s="12"/>
      <c r="L26" s="12"/>
      <c r="M26" s="12"/>
      <c r="N26" s="12"/>
      <c r="O26" s="12"/>
      <c r="P26" s="12"/>
      <c r="Q26" s="12"/>
      <c r="R26" s="12"/>
    </row>
    <row r="27" spans="1:20" x14ac:dyDescent="0.2">
      <c r="A27" s="10" t="s">
        <v>9</v>
      </c>
      <c r="B27" s="4"/>
      <c r="C27" s="4"/>
      <c r="D27" s="4"/>
      <c r="E27" s="4"/>
      <c r="F27" s="7"/>
      <c r="G27" s="7"/>
      <c r="H27" s="8"/>
      <c r="I27" s="58">
        <f>I8</f>
        <v>46348.088958031265</v>
      </c>
      <c r="J27" s="58">
        <f>J32-J25-J28-J29</f>
        <v>274932.63064836455</v>
      </c>
      <c r="K27" s="58">
        <f t="shared" ref="K27:P27" si="23">K32-K25-K28-K29</f>
        <v>253689.38655721582</v>
      </c>
      <c r="L27" s="58">
        <f t="shared" si="23"/>
        <v>232627.29774395237</v>
      </c>
      <c r="M27" s="58">
        <f t="shared" si="23"/>
        <v>211754.61381158326</v>
      </c>
      <c r="N27" s="58">
        <f t="shared" si="23"/>
        <v>191078.92634718679</v>
      </c>
      <c r="O27" s="58">
        <f t="shared" si="23"/>
        <v>170607.2009782237</v>
      </c>
      <c r="P27" s="58">
        <f t="shared" si="23"/>
        <v>150345.80809768569</v>
      </c>
      <c r="Q27" s="58">
        <f t="shared" ref="Q27" si="24">Q32-Q25-Q28-Q29</f>
        <v>130300.55230909982</v>
      </c>
      <c r="R27" s="58">
        <f t="shared" ref="R27" si="25">R32-R25-R28-R29</f>
        <v>110476.70064054133</v>
      </c>
    </row>
    <row r="28" spans="1:20" x14ac:dyDescent="0.2">
      <c r="A28" s="14" t="s">
        <v>111</v>
      </c>
      <c r="B28" s="49"/>
      <c r="C28" s="49"/>
      <c r="D28" s="49"/>
      <c r="E28" s="4"/>
      <c r="F28" s="50"/>
      <c r="G28" s="50"/>
      <c r="H28" s="51"/>
      <c r="I28" s="13">
        <f>I9</f>
        <v>169098.49110250713</v>
      </c>
      <c r="J28" s="11">
        <f>I28*(1+$H$24)</f>
        <v>164025.53636943191</v>
      </c>
      <c r="K28" s="11">
        <f t="shared" ref="K28:R28" si="26">J28*(1+$H$24)</f>
        <v>159104.77027834894</v>
      </c>
      <c r="L28" s="11">
        <f t="shared" si="26"/>
        <v>154331.62716999845</v>
      </c>
      <c r="M28" s="11">
        <f t="shared" si="26"/>
        <v>149701.6783548985</v>
      </c>
      <c r="N28" s="11">
        <f t="shared" si="26"/>
        <v>145210.62800425154</v>
      </c>
      <c r="O28" s="11">
        <f t="shared" si="26"/>
        <v>140854.30916412399</v>
      </c>
      <c r="P28" s="11">
        <f t="shared" si="26"/>
        <v>136628.67988920026</v>
      </c>
      <c r="Q28" s="11">
        <f t="shared" si="26"/>
        <v>132529.81949252426</v>
      </c>
      <c r="R28" s="11">
        <f t="shared" si="26"/>
        <v>128553.92490774853</v>
      </c>
      <c r="T28" s="55" t="s">
        <v>118</v>
      </c>
    </row>
    <row r="29" spans="1:20" x14ac:dyDescent="0.2">
      <c r="A29" s="14" t="s">
        <v>10</v>
      </c>
      <c r="B29" s="4"/>
      <c r="C29" s="4"/>
      <c r="D29" s="4"/>
      <c r="E29" s="4"/>
      <c r="F29" s="7"/>
      <c r="G29" s="7"/>
      <c r="H29" s="8"/>
      <c r="I29" s="54">
        <f>I10</f>
        <v>190000</v>
      </c>
      <c r="J29" s="54">
        <f>I29</f>
        <v>190000</v>
      </c>
      <c r="K29" s="54">
        <f t="shared" ref="K29:R29" si="27">J29</f>
        <v>190000</v>
      </c>
      <c r="L29" s="54">
        <f t="shared" si="27"/>
        <v>190000</v>
      </c>
      <c r="M29" s="54">
        <f t="shared" si="27"/>
        <v>190000</v>
      </c>
      <c r="N29" s="54">
        <f t="shared" si="27"/>
        <v>190000</v>
      </c>
      <c r="O29" s="54">
        <f t="shared" si="27"/>
        <v>190000</v>
      </c>
      <c r="P29" s="54">
        <f t="shared" si="27"/>
        <v>190000</v>
      </c>
      <c r="Q29" s="54">
        <f t="shared" si="27"/>
        <v>190000</v>
      </c>
      <c r="R29" s="54">
        <f t="shared" si="27"/>
        <v>190000</v>
      </c>
      <c r="T29" t="s">
        <v>117</v>
      </c>
    </row>
    <row r="30" spans="1:20" ht="17" customHeight="1" x14ac:dyDescent="0.2">
      <c r="A30" t="s">
        <v>115</v>
      </c>
      <c r="B30" s="49"/>
      <c r="C30" s="49"/>
      <c r="D30" s="49"/>
      <c r="E30" s="49"/>
      <c r="F30" s="50"/>
      <c r="G30" s="50"/>
      <c r="H30" s="51"/>
      <c r="I30" s="11">
        <f>SUM(I25:I29)</f>
        <v>1236348.0889580313</v>
      </c>
      <c r="J30" s="11">
        <f>SUM(J25:J29)</f>
        <v>1214932.6306483645</v>
      </c>
      <c r="K30" s="11">
        <f>SUM(K25:K29)</f>
        <v>1193689.3865572158</v>
      </c>
      <c r="L30" s="11">
        <f t="shared" ref="L30" si="28">SUM(L25:L29)</f>
        <v>1172627.2977439524</v>
      </c>
      <c r="M30" s="11">
        <f>SUM(M25:M29)</f>
        <v>1151754.6138115833</v>
      </c>
      <c r="N30" s="11">
        <f t="shared" ref="N30:R30" si="29">SUM(N25:N29)</f>
        <v>1131078.9263471868</v>
      </c>
      <c r="O30" s="11">
        <f t="shared" si="29"/>
        <v>1110607.2009782237</v>
      </c>
      <c r="P30" s="11">
        <f t="shared" si="29"/>
        <v>1090345.8080976857</v>
      </c>
      <c r="Q30" s="11">
        <f t="shared" si="29"/>
        <v>1070300.5523090998</v>
      </c>
      <c r="R30" s="11">
        <f t="shared" si="29"/>
        <v>1050476.7006405413</v>
      </c>
    </row>
    <row r="31" spans="1:20" ht="17" customHeight="1" x14ac:dyDescent="0.2">
      <c r="A31" t="s">
        <v>116</v>
      </c>
      <c r="B31" s="49"/>
      <c r="C31" s="49"/>
      <c r="D31" s="49"/>
      <c r="E31" s="49">
        <f>E28+E25</f>
        <v>0</v>
      </c>
      <c r="F31" s="50"/>
      <c r="G31" s="50"/>
      <c r="H31" s="51"/>
      <c r="I31" s="54">
        <f>I28+I25</f>
        <v>750000</v>
      </c>
      <c r="J31" s="54">
        <f>I31</f>
        <v>750000</v>
      </c>
      <c r="K31" s="54">
        <f>J31</f>
        <v>750000</v>
      </c>
      <c r="L31" s="54">
        <f t="shared" ref="L31:R31" si="30">L28+L25</f>
        <v>750000</v>
      </c>
      <c r="M31" s="54">
        <f t="shared" si="30"/>
        <v>750000</v>
      </c>
      <c r="N31" s="54">
        <f t="shared" si="30"/>
        <v>750000</v>
      </c>
      <c r="O31" s="54">
        <f t="shared" si="30"/>
        <v>750000</v>
      </c>
      <c r="P31" s="54">
        <f t="shared" si="30"/>
        <v>750000</v>
      </c>
      <c r="Q31" s="54">
        <f t="shared" si="30"/>
        <v>750000</v>
      </c>
      <c r="R31" s="54">
        <f t="shared" si="30"/>
        <v>750000</v>
      </c>
      <c r="S31" t="s">
        <v>31</v>
      </c>
      <c r="T31" t="s">
        <v>117</v>
      </c>
    </row>
    <row r="32" spans="1:20" x14ac:dyDescent="0.2">
      <c r="A32" t="s">
        <v>11</v>
      </c>
      <c r="B32" s="4"/>
      <c r="C32" s="4"/>
      <c r="D32" s="4"/>
      <c r="E32" s="4"/>
      <c r="F32" s="7"/>
      <c r="G32" s="7"/>
      <c r="H32" s="8"/>
      <c r="I32" s="4">
        <f>I13</f>
        <v>1236348.0889580313</v>
      </c>
      <c r="J32" s="4">
        <f t="shared" ref="J32:R32" si="31">J24*J3</f>
        <v>1214932.6306483645</v>
      </c>
      <c r="K32" s="4">
        <f t="shared" si="31"/>
        <v>1193689.3865572158</v>
      </c>
      <c r="L32" s="4">
        <f t="shared" si="31"/>
        <v>1172627.2977439524</v>
      </c>
      <c r="M32" s="4">
        <f t="shared" si="31"/>
        <v>1151754.6138115833</v>
      </c>
      <c r="N32" s="4">
        <f t="shared" si="31"/>
        <v>1131078.9263471868</v>
      </c>
      <c r="O32" s="4">
        <f t="shared" si="31"/>
        <v>1110607.2009782237</v>
      </c>
      <c r="P32" s="4">
        <f t="shared" si="31"/>
        <v>1090345.8080976857</v>
      </c>
      <c r="Q32" s="4">
        <f t="shared" si="31"/>
        <v>1070300.5523090998</v>
      </c>
      <c r="R32" s="4">
        <f t="shared" si="31"/>
        <v>1050476.7006405413</v>
      </c>
      <c r="S32" s="13">
        <f>SUM(I32:R32)</f>
        <v>11422161.206091885</v>
      </c>
    </row>
    <row r="33" spans="1:21" x14ac:dyDescent="0.2">
      <c r="A33" t="s">
        <v>14</v>
      </c>
      <c r="M33" s="46"/>
      <c r="N33" s="46"/>
      <c r="O33" s="46"/>
      <c r="P33" s="46"/>
      <c r="Q33" s="46"/>
      <c r="R33" s="46"/>
      <c r="T33" t="s">
        <v>121</v>
      </c>
    </row>
    <row r="34" spans="1:21" s="21" customFormat="1" ht="17" customHeight="1" x14ac:dyDescent="0.2">
      <c r="A34" s="16" t="s">
        <v>101</v>
      </c>
      <c r="B34" s="17"/>
      <c r="C34" s="17"/>
      <c r="D34" s="17"/>
      <c r="E34" s="17"/>
      <c r="F34" s="18"/>
      <c r="G34" s="18"/>
      <c r="H34" s="19"/>
      <c r="I34" s="20"/>
      <c r="J34" s="20"/>
      <c r="K34" s="20"/>
      <c r="L34" s="20"/>
      <c r="M34" s="11"/>
      <c r="N34" s="11"/>
      <c r="O34" s="11"/>
      <c r="P34" s="11"/>
      <c r="Q34" s="11"/>
      <c r="R34" s="11"/>
    </row>
    <row r="35" spans="1:21" ht="18" customHeight="1" x14ac:dyDescent="0.2">
      <c r="A35" t="s">
        <v>7</v>
      </c>
      <c r="B35" s="6"/>
      <c r="C35" s="6"/>
      <c r="D35" s="6"/>
      <c r="E35" s="6"/>
      <c r="F35" s="7"/>
      <c r="G35" s="7"/>
      <c r="H35" s="35">
        <f>H24</f>
        <v>-0.03</v>
      </c>
      <c r="I35" s="9">
        <f>I24</f>
        <v>0.38023006328864567</v>
      </c>
      <c r="J35" s="9">
        <f>I35*(1+$H$24)</f>
        <v>0.36882316138998628</v>
      </c>
      <c r="K35" s="9">
        <f t="shared" ref="K35:R35" si="32">J35*(1+$H$24)</f>
        <v>0.35775846654828669</v>
      </c>
      <c r="L35" s="9">
        <f t="shared" si="32"/>
        <v>0.34702571255183806</v>
      </c>
      <c r="M35" s="9">
        <f t="shared" si="32"/>
        <v>0.3366149411752829</v>
      </c>
      <c r="N35" s="9">
        <f t="shared" si="32"/>
        <v>0.32651649294002438</v>
      </c>
      <c r="O35" s="9">
        <f t="shared" si="32"/>
        <v>0.31672099815182364</v>
      </c>
      <c r="P35" s="9">
        <f t="shared" si="32"/>
        <v>0.30721936820726892</v>
      </c>
      <c r="Q35" s="9">
        <f t="shared" si="32"/>
        <v>0.29800278716105083</v>
      </c>
      <c r="R35" s="9">
        <f t="shared" si="32"/>
        <v>0.28906270354621932</v>
      </c>
    </row>
    <row r="36" spans="1:21" x14ac:dyDescent="0.2">
      <c r="A36" s="10" t="s">
        <v>8</v>
      </c>
      <c r="B36" s="4"/>
      <c r="C36" s="4"/>
      <c r="D36" s="4"/>
      <c r="E36" s="4"/>
      <c r="F36" s="7"/>
      <c r="G36" s="7"/>
      <c r="H36" s="8"/>
      <c r="I36" s="11">
        <f>I6</f>
        <v>580901.50889749289</v>
      </c>
      <c r="J36" s="11">
        <f>750000-J39</f>
        <v>585974.46363056812</v>
      </c>
      <c r="K36" s="11">
        <f>750000-K39</f>
        <v>590895.22972165106</v>
      </c>
      <c r="L36" s="11">
        <f t="shared" ref="L36:R36" si="33">L43-L37-L39-L40</f>
        <v>578295.67057395389</v>
      </c>
      <c r="M36" s="11">
        <f t="shared" si="33"/>
        <v>562052.93545668479</v>
      </c>
      <c r="N36" s="11">
        <f t="shared" si="33"/>
        <v>545868.29834293528</v>
      </c>
      <c r="O36" s="11">
        <f t="shared" si="33"/>
        <v>529752.89181409974</v>
      </c>
      <c r="P36" s="11">
        <f t="shared" si="33"/>
        <v>513717.12820848543</v>
      </c>
      <c r="Q36" s="11">
        <f t="shared" si="33"/>
        <v>497770.73281657556</v>
      </c>
      <c r="R36" s="11">
        <f t="shared" si="33"/>
        <v>481922.77573279268</v>
      </c>
      <c r="S36" t="s">
        <v>88</v>
      </c>
    </row>
    <row r="37" spans="1:21" x14ac:dyDescent="0.2">
      <c r="A37" s="10" t="s">
        <v>89</v>
      </c>
      <c r="B37" s="4"/>
      <c r="C37" s="4"/>
      <c r="D37" s="4"/>
      <c r="E37" s="4"/>
      <c r="F37" s="7"/>
      <c r="G37" s="7"/>
      <c r="H37" s="8"/>
      <c r="I37" s="54">
        <v>250000</v>
      </c>
      <c r="J37" s="54">
        <f>I37</f>
        <v>250000</v>
      </c>
      <c r="K37" s="54">
        <f t="shared" ref="K37:R37" si="34">J37</f>
        <v>250000</v>
      </c>
      <c r="L37" s="54">
        <f t="shared" si="34"/>
        <v>250000</v>
      </c>
      <c r="M37" s="54">
        <f t="shared" si="34"/>
        <v>250000</v>
      </c>
      <c r="N37" s="54">
        <f t="shared" si="34"/>
        <v>250000</v>
      </c>
      <c r="O37" s="54">
        <f t="shared" si="34"/>
        <v>250000</v>
      </c>
      <c r="P37" s="54">
        <f t="shared" si="34"/>
        <v>250000</v>
      </c>
      <c r="Q37" s="54">
        <f t="shared" si="34"/>
        <v>250000</v>
      </c>
      <c r="R37" s="54">
        <f t="shared" si="34"/>
        <v>250000</v>
      </c>
      <c r="S37" t="s">
        <v>31</v>
      </c>
    </row>
    <row r="38" spans="1:21" x14ac:dyDescent="0.2">
      <c r="A38" s="10" t="s">
        <v>9</v>
      </c>
      <c r="B38" s="4"/>
      <c r="C38" s="4"/>
      <c r="D38" s="4"/>
      <c r="E38" s="4"/>
      <c r="F38" s="7"/>
      <c r="G38" s="7"/>
      <c r="H38" s="8"/>
      <c r="I38" s="58">
        <f>I8</f>
        <v>46348.088958031265</v>
      </c>
      <c r="J38" s="58">
        <f>J43-J36-J39-J40-J37</f>
        <v>24932.630648364546</v>
      </c>
      <c r="K38" s="58">
        <f>K43-K36-K39-K40-K37</f>
        <v>3689.3865572158247</v>
      </c>
      <c r="L38" s="58"/>
      <c r="M38" s="58"/>
      <c r="N38" s="58"/>
      <c r="O38" s="58"/>
      <c r="P38" s="58"/>
      <c r="Q38" s="58"/>
      <c r="R38" s="58"/>
    </row>
    <row r="39" spans="1:21" x14ac:dyDescent="0.2">
      <c r="A39" s="14" t="s">
        <v>111</v>
      </c>
      <c r="B39" s="49"/>
      <c r="C39" s="49"/>
      <c r="D39" s="49"/>
      <c r="E39" s="4"/>
      <c r="F39" s="50"/>
      <c r="G39" s="50"/>
      <c r="H39" s="51"/>
      <c r="I39" s="13">
        <f>I9</f>
        <v>169098.49110250713</v>
      </c>
      <c r="J39" s="13">
        <f>J28</f>
        <v>164025.53636943191</v>
      </c>
      <c r="K39" s="13">
        <f t="shared" ref="K39:R39" si="35">K28</f>
        <v>159104.77027834894</v>
      </c>
      <c r="L39" s="13">
        <f t="shared" si="35"/>
        <v>154331.62716999845</v>
      </c>
      <c r="M39" s="13">
        <f t="shared" si="35"/>
        <v>149701.6783548985</v>
      </c>
      <c r="N39" s="13">
        <f t="shared" si="35"/>
        <v>145210.62800425154</v>
      </c>
      <c r="O39" s="13">
        <f t="shared" si="35"/>
        <v>140854.30916412399</v>
      </c>
      <c r="P39" s="13">
        <f t="shared" si="35"/>
        <v>136628.67988920026</v>
      </c>
      <c r="Q39" s="13">
        <f t="shared" si="35"/>
        <v>132529.81949252426</v>
      </c>
      <c r="R39" s="13">
        <f t="shared" si="35"/>
        <v>128553.92490774853</v>
      </c>
      <c r="T39" s="55" t="s">
        <v>118</v>
      </c>
    </row>
    <row r="40" spans="1:21" x14ac:dyDescent="0.2">
      <c r="A40" s="14" t="s">
        <v>10</v>
      </c>
      <c r="B40" s="4"/>
      <c r="C40" s="4"/>
      <c r="D40" s="4"/>
      <c r="E40" s="4"/>
      <c r="F40" s="7"/>
      <c r="G40" s="7"/>
      <c r="H40" s="8"/>
      <c r="I40" s="54">
        <f>I19</f>
        <v>190000</v>
      </c>
      <c r="J40" s="54">
        <f>I40</f>
        <v>190000</v>
      </c>
      <c r="K40" s="54">
        <f t="shared" ref="K40:R40" si="36">J40</f>
        <v>190000</v>
      </c>
      <c r="L40" s="54">
        <f t="shared" si="36"/>
        <v>190000</v>
      </c>
      <c r="M40" s="54">
        <f t="shared" si="36"/>
        <v>190000</v>
      </c>
      <c r="N40" s="54">
        <f t="shared" si="36"/>
        <v>190000</v>
      </c>
      <c r="O40" s="54">
        <f t="shared" si="36"/>
        <v>190000</v>
      </c>
      <c r="P40" s="54">
        <f t="shared" si="36"/>
        <v>190000</v>
      </c>
      <c r="Q40" s="54">
        <f t="shared" si="36"/>
        <v>190000</v>
      </c>
      <c r="R40" s="54">
        <f t="shared" si="36"/>
        <v>190000</v>
      </c>
      <c r="T40" t="s">
        <v>117</v>
      </c>
    </row>
    <row r="41" spans="1:21" ht="17" customHeight="1" x14ac:dyDescent="0.2">
      <c r="A41" t="s">
        <v>115</v>
      </c>
      <c r="B41" s="49"/>
      <c r="C41" s="49"/>
      <c r="D41" s="49"/>
      <c r="E41" s="49"/>
      <c r="F41" s="50"/>
      <c r="G41" s="50"/>
      <c r="H41" s="51"/>
      <c r="I41" s="11">
        <f>SUM(I36:I40)</f>
        <v>1236348.0889580313</v>
      </c>
      <c r="J41" s="11">
        <f t="shared" ref="J41:R41" si="37">SUM(J36:J40)</f>
        <v>1214932.6306483645</v>
      </c>
      <c r="K41" s="11">
        <f t="shared" si="37"/>
        <v>1193689.3865572158</v>
      </c>
      <c r="L41" s="11">
        <f t="shared" si="37"/>
        <v>1172627.2977439524</v>
      </c>
      <c r="M41" s="11">
        <f t="shared" si="37"/>
        <v>1151754.6138115833</v>
      </c>
      <c r="N41" s="11">
        <f t="shared" si="37"/>
        <v>1131078.9263471868</v>
      </c>
      <c r="O41" s="11">
        <f t="shared" si="37"/>
        <v>1110607.2009782237</v>
      </c>
      <c r="P41" s="11">
        <f t="shared" si="37"/>
        <v>1090345.8080976857</v>
      </c>
      <c r="Q41" s="11">
        <f t="shared" si="37"/>
        <v>1070300.5523090998</v>
      </c>
      <c r="R41" s="11">
        <f t="shared" si="37"/>
        <v>1050476.7006405413</v>
      </c>
    </row>
    <row r="42" spans="1:21" ht="17" customHeight="1" x14ac:dyDescent="0.2">
      <c r="A42" t="s">
        <v>116</v>
      </c>
      <c r="B42" s="49"/>
      <c r="C42" s="49"/>
      <c r="D42" s="49"/>
      <c r="E42" s="49">
        <f>E39+E36</f>
        <v>0</v>
      </c>
      <c r="F42" s="50"/>
      <c r="G42" s="50"/>
      <c r="H42" s="51"/>
      <c r="I42" s="54">
        <f>I39+I36</f>
        <v>750000</v>
      </c>
      <c r="J42" s="54">
        <f>J36+J39</f>
        <v>750000</v>
      </c>
      <c r="K42" s="54">
        <f t="shared" ref="K42:R42" si="38">K36+K39</f>
        <v>750000</v>
      </c>
      <c r="L42" s="54">
        <f t="shared" si="38"/>
        <v>732627.29774395237</v>
      </c>
      <c r="M42" s="54">
        <f t="shared" si="38"/>
        <v>711754.61381158326</v>
      </c>
      <c r="N42" s="54">
        <f t="shared" si="38"/>
        <v>691078.92634718679</v>
      </c>
      <c r="O42" s="54">
        <f t="shared" si="38"/>
        <v>670607.2009782237</v>
      </c>
      <c r="P42" s="54">
        <f t="shared" si="38"/>
        <v>650345.80809768569</v>
      </c>
      <c r="Q42" s="54">
        <f t="shared" si="38"/>
        <v>630300.55230909982</v>
      </c>
      <c r="R42" s="54">
        <f t="shared" si="38"/>
        <v>610476.70064054127</v>
      </c>
      <c r="T42" t="s">
        <v>117</v>
      </c>
      <c r="U42" t="s">
        <v>122</v>
      </c>
    </row>
    <row r="43" spans="1:21" x14ac:dyDescent="0.2">
      <c r="A43" t="s">
        <v>11</v>
      </c>
      <c r="B43" s="4"/>
      <c r="C43" s="4"/>
      <c r="D43" s="4"/>
      <c r="E43" s="4"/>
      <c r="F43" s="7"/>
      <c r="G43" s="7"/>
      <c r="H43" s="8"/>
      <c r="I43" s="4">
        <f>I32</f>
        <v>1236348.0889580313</v>
      </c>
      <c r="J43" s="4">
        <f t="shared" ref="J43:R43" si="39">J32</f>
        <v>1214932.6306483645</v>
      </c>
      <c r="K43" s="4">
        <f t="shared" si="39"/>
        <v>1193689.3865572158</v>
      </c>
      <c r="L43" s="4">
        <f t="shared" si="39"/>
        <v>1172627.2977439524</v>
      </c>
      <c r="M43" s="4">
        <f t="shared" si="39"/>
        <v>1151754.6138115833</v>
      </c>
      <c r="N43" s="4">
        <f t="shared" si="39"/>
        <v>1131078.9263471868</v>
      </c>
      <c r="O43" s="4">
        <f t="shared" si="39"/>
        <v>1110607.2009782237</v>
      </c>
      <c r="P43" s="4">
        <f t="shared" si="39"/>
        <v>1090345.8080976857</v>
      </c>
      <c r="Q43" s="4">
        <f t="shared" si="39"/>
        <v>1070300.5523090998</v>
      </c>
      <c r="R43" s="4">
        <f t="shared" si="39"/>
        <v>1050476.7006405413</v>
      </c>
      <c r="S43" s="13">
        <f>SUM(I43:R43)</f>
        <v>11422161.206091885</v>
      </c>
    </row>
    <row r="44" spans="1:21" x14ac:dyDescent="0.2">
      <c r="A44" t="s">
        <v>14</v>
      </c>
      <c r="M44" s="11"/>
      <c r="N44" s="11"/>
      <c r="O44" s="11"/>
      <c r="P44" s="11"/>
      <c r="Q44" s="11"/>
      <c r="R44" s="11"/>
      <c r="T44" t="s">
        <v>120</v>
      </c>
    </row>
    <row r="46" spans="1:21" s="21" customFormat="1" ht="17" customHeight="1" x14ac:dyDescent="0.2">
      <c r="A46" s="16" t="s">
        <v>16</v>
      </c>
      <c r="B46" s="17"/>
      <c r="C46" s="17"/>
      <c r="D46" s="17"/>
      <c r="E46" s="17"/>
      <c r="F46" s="18"/>
      <c r="G46" s="18"/>
      <c r="H46" s="19"/>
      <c r="I46" s="20"/>
      <c r="J46" s="20"/>
      <c r="K46" s="20"/>
      <c r="L46" s="20"/>
      <c r="M46" s="20"/>
      <c r="N46" s="20"/>
      <c r="O46" s="20"/>
      <c r="P46" s="20"/>
      <c r="Q46" s="20"/>
      <c r="R46" s="20"/>
    </row>
    <row r="47" spans="1:21" ht="17" customHeight="1" x14ac:dyDescent="0.2">
      <c r="A47" s="22" t="s">
        <v>17</v>
      </c>
      <c r="B47" s="22"/>
      <c r="C47" s="22"/>
      <c r="D47" s="23"/>
      <c r="E47" s="23"/>
      <c r="F47" s="23"/>
      <c r="G47" s="23"/>
      <c r="H47" s="23" t="s">
        <v>18</v>
      </c>
      <c r="I47" s="60"/>
      <c r="J47" s="23"/>
      <c r="K47" s="23"/>
      <c r="L47" s="23"/>
      <c r="M47" s="23"/>
      <c r="N47" s="23"/>
      <c r="O47" s="23"/>
      <c r="P47" s="23"/>
      <c r="Q47" s="23"/>
      <c r="R47" s="23"/>
      <c r="S47" s="23"/>
    </row>
    <row r="48" spans="1:21" x14ac:dyDescent="0.2">
      <c r="A48" s="23" t="s">
        <v>19</v>
      </c>
      <c r="B48" s="23"/>
      <c r="C48" s="23"/>
      <c r="D48" s="23"/>
      <c r="E48" s="23"/>
      <c r="F48" s="23"/>
      <c r="G48" s="23"/>
      <c r="H48" s="30">
        <f>'Disposal costs'!F2</f>
        <v>64</v>
      </c>
      <c r="I48" s="24">
        <f t="shared" ref="I48:R48" si="40">I6*($H$48*(1+0.02*(I2-2024)))</f>
        <v>39408358.363605917</v>
      </c>
      <c r="J48" s="24">
        <f t="shared" si="40"/>
        <v>40419878.745395876</v>
      </c>
      <c r="K48" s="24">
        <f t="shared" si="40"/>
        <v>41435066.520079799</v>
      </c>
      <c r="L48" s="24">
        <f t="shared" si="40"/>
        <v>42453726.446729936</v>
      </c>
      <c r="M48" s="24">
        <f t="shared" si="40"/>
        <v>43163379.901793219</v>
      </c>
      <c r="N48" s="24">
        <f t="shared" si="40"/>
        <v>43233121.456135899</v>
      </c>
      <c r="O48" s="24">
        <f t="shared" si="40"/>
        <v>43270274.135121427</v>
      </c>
      <c r="P48" s="24">
        <f t="shared" si="40"/>
        <v>43275174.313842252</v>
      </c>
      <c r="Q48" s="24">
        <f t="shared" si="40"/>
        <v>43248178.992693774</v>
      </c>
      <c r="R48" s="24">
        <f t="shared" si="40"/>
        <v>43189664.241077617</v>
      </c>
      <c r="S48" s="23"/>
    </row>
    <row r="49" spans="1:19" x14ac:dyDescent="0.2">
      <c r="A49" s="23" t="s">
        <v>74</v>
      </c>
      <c r="B49" s="23"/>
      <c r="C49" s="23"/>
      <c r="D49" s="23"/>
      <c r="E49" s="23"/>
      <c r="F49" s="23"/>
      <c r="G49" s="23"/>
      <c r="H49" s="30">
        <f>'Disposal costs'!F3</f>
        <v>107.23583695223056</v>
      </c>
      <c r="I49" s="24">
        <f>I7*($H$49*(1+0.05*(I2-2024)))</f>
        <v>30830303.123766281</v>
      </c>
      <c r="J49" s="24">
        <f>J7*($H$49*(1+0.05*(J2-2024)))</f>
        <v>32170751.085669167</v>
      </c>
      <c r="K49" s="24">
        <f t="shared" ref="K49:R49" si="41">K7*($H$49*(1+0.05*(K2-2024)))</f>
        <v>33511199.04757205</v>
      </c>
      <c r="L49" s="24">
        <f t="shared" si="41"/>
        <v>34851647.009474933</v>
      </c>
      <c r="M49" s="24">
        <f t="shared" si="41"/>
        <v>36192094.971377812</v>
      </c>
      <c r="N49" s="24">
        <f t="shared" si="41"/>
        <v>37532542.933280692</v>
      </c>
      <c r="O49" s="24">
        <f t="shared" si="41"/>
        <v>38872990.895183578</v>
      </c>
      <c r="P49" s="24">
        <f t="shared" si="41"/>
        <v>40213438.857086457</v>
      </c>
      <c r="Q49" s="24">
        <f t="shared" si="41"/>
        <v>41553886.818989344</v>
      </c>
      <c r="R49" s="24">
        <f t="shared" si="41"/>
        <v>42894334.780892223</v>
      </c>
      <c r="S49" s="23"/>
    </row>
    <row r="50" spans="1:19" x14ac:dyDescent="0.2">
      <c r="A50" s="23" t="s">
        <v>20</v>
      </c>
      <c r="B50" s="23"/>
      <c r="C50" s="23"/>
      <c r="D50" s="23"/>
      <c r="E50" s="23"/>
      <c r="F50" s="23"/>
      <c r="G50" s="23"/>
      <c r="H50" s="30">
        <f>'Disposal costs'!F4</f>
        <v>171</v>
      </c>
      <c r="I50" s="24">
        <f>I8*($H$50*(1+0.02*(I2-2024)))</f>
        <v>8401054.6045327485</v>
      </c>
      <c r="J50" s="24">
        <f>J8*($H$50*(1+0.02*(J2-2024)))</f>
        <v>6240761.5587632954</v>
      </c>
      <c r="K50" s="24">
        <f>K8*($H$50*(1+0.02*(K2-2024)))</f>
        <v>3980642.5400296277</v>
      </c>
      <c r="L50" s="24">
        <f>L8*($H$50*(1+0.05*(L2-2024)))</f>
        <v>1882506.6908018363</v>
      </c>
      <c r="M50" s="24">
        <f t="shared" ref="M50:R50" si="42">M8*($H$50*(1+0.02*(M2-2024)))</f>
        <v>0</v>
      </c>
      <c r="N50" s="24">
        <f t="shared" si="42"/>
        <v>0</v>
      </c>
      <c r="O50" s="24">
        <f t="shared" si="42"/>
        <v>0</v>
      </c>
      <c r="P50" s="24">
        <f t="shared" si="42"/>
        <v>0</v>
      </c>
      <c r="Q50" s="24">
        <f t="shared" si="42"/>
        <v>0</v>
      </c>
      <c r="R50" s="24">
        <f t="shared" si="42"/>
        <v>0</v>
      </c>
      <c r="S50" s="23"/>
    </row>
    <row r="51" spans="1:19" x14ac:dyDescent="0.2">
      <c r="A51" s="22" t="s">
        <v>21</v>
      </c>
      <c r="B51" s="22"/>
      <c r="C51" s="22"/>
      <c r="D51" s="22"/>
      <c r="E51" s="22"/>
      <c r="F51" s="22"/>
      <c r="G51" s="22"/>
      <c r="H51" s="22"/>
      <c r="I51" s="26">
        <f>SUM(I48:I50)</f>
        <v>78639716.091904938</v>
      </c>
      <c r="J51" s="26">
        <f t="shared" ref="J51:R51" si="43">SUM(J48:J50)</f>
        <v>78831391.389828339</v>
      </c>
      <c r="K51" s="26">
        <f t="shared" si="43"/>
        <v>78926908.107681483</v>
      </c>
      <c r="L51" s="26">
        <f t="shared" si="43"/>
        <v>79187880.147006691</v>
      </c>
      <c r="M51" s="26">
        <f t="shared" si="43"/>
        <v>79355474.873171031</v>
      </c>
      <c r="N51" s="26">
        <f t="shared" si="43"/>
        <v>80765664.38941659</v>
      </c>
      <c r="O51" s="26">
        <f t="shared" si="43"/>
        <v>82143265.030304998</v>
      </c>
      <c r="P51" s="26">
        <f t="shared" si="43"/>
        <v>83488613.170928717</v>
      </c>
      <c r="Q51" s="26">
        <f t="shared" si="43"/>
        <v>84802065.811683118</v>
      </c>
      <c r="R51" s="26">
        <f t="shared" si="43"/>
        <v>86083999.02196984</v>
      </c>
      <c r="S51" s="23"/>
    </row>
    <row r="52" spans="1:19" x14ac:dyDescent="0.2">
      <c r="A52" s="22" t="s">
        <v>25</v>
      </c>
      <c r="J52" s="23"/>
      <c r="K52" s="23"/>
      <c r="L52" s="23"/>
      <c r="M52" s="23"/>
      <c r="N52" s="23"/>
      <c r="O52" s="23"/>
      <c r="P52" s="23"/>
      <c r="Q52" s="23"/>
      <c r="S52" s="26">
        <f>SUM(I51:R51)</f>
        <v>812224978.03389573</v>
      </c>
    </row>
    <row r="53" spans="1:19" x14ac:dyDescent="0.2">
      <c r="A53" s="23" t="s">
        <v>81</v>
      </c>
      <c r="B53" s="23"/>
      <c r="C53" s="23"/>
      <c r="D53" s="23"/>
      <c r="E53" s="23"/>
      <c r="F53" s="33">
        <v>220000000</v>
      </c>
      <c r="G53" s="33"/>
      <c r="H53" s="23"/>
      <c r="I53" s="27">
        <f>F53/20</f>
        <v>11000000</v>
      </c>
      <c r="J53" s="27">
        <f>I53</f>
        <v>11000000</v>
      </c>
      <c r="K53" s="27">
        <f t="shared" ref="K53:R53" si="44">J53</f>
        <v>11000000</v>
      </c>
      <c r="L53" s="27">
        <f t="shared" si="44"/>
        <v>11000000</v>
      </c>
      <c r="M53" s="27">
        <f t="shared" si="44"/>
        <v>11000000</v>
      </c>
      <c r="N53" s="27">
        <f t="shared" si="44"/>
        <v>11000000</v>
      </c>
      <c r="O53" s="27">
        <f t="shared" si="44"/>
        <v>11000000</v>
      </c>
      <c r="P53" s="27">
        <f t="shared" si="44"/>
        <v>11000000</v>
      </c>
      <c r="Q53" s="27">
        <f t="shared" si="44"/>
        <v>11000000</v>
      </c>
      <c r="R53" s="27">
        <f t="shared" si="44"/>
        <v>11000000</v>
      </c>
      <c r="S53" s="23" t="s">
        <v>127</v>
      </c>
    </row>
    <row r="54" spans="1:19" x14ac:dyDescent="0.2">
      <c r="A54" s="22" t="s">
        <v>24</v>
      </c>
      <c r="B54" s="23"/>
      <c r="C54" s="23"/>
      <c r="D54" s="23"/>
      <c r="E54" s="23"/>
      <c r="F54" s="23"/>
      <c r="G54" s="23"/>
      <c r="H54" s="23"/>
      <c r="I54" s="28">
        <f>SUM(I53+I51)</f>
        <v>89639716.091904938</v>
      </c>
      <c r="J54" s="28">
        <f t="shared" ref="J54:R54" si="45">SUM(J53+J51)</f>
        <v>89831391.389828339</v>
      </c>
      <c r="K54" s="28">
        <f t="shared" si="45"/>
        <v>89926908.107681483</v>
      </c>
      <c r="L54" s="28">
        <f t="shared" si="45"/>
        <v>90187880.147006691</v>
      </c>
      <c r="M54" s="28">
        <f t="shared" si="45"/>
        <v>90355474.873171031</v>
      </c>
      <c r="N54" s="28">
        <f t="shared" si="45"/>
        <v>91765664.38941659</v>
      </c>
      <c r="O54" s="28">
        <f t="shared" si="45"/>
        <v>93143265.030304998</v>
      </c>
      <c r="P54" s="28">
        <f t="shared" si="45"/>
        <v>94488613.170928717</v>
      </c>
      <c r="Q54" s="28">
        <f t="shared" si="45"/>
        <v>95802065.811683118</v>
      </c>
      <c r="R54" s="28">
        <f t="shared" si="45"/>
        <v>97083999.02196984</v>
      </c>
    </row>
    <row r="55" spans="1:19" x14ac:dyDescent="0.2">
      <c r="A55" s="15" t="s">
        <v>26</v>
      </c>
      <c r="S55" s="26">
        <f>SUM(I54:R54)</f>
        <v>922224978.03389573</v>
      </c>
    </row>
    <row r="56" spans="1:19" x14ac:dyDescent="0.2">
      <c r="A56" s="22" t="s">
        <v>27</v>
      </c>
      <c r="B56" s="22"/>
      <c r="C56" s="22"/>
      <c r="D56" s="23"/>
      <c r="E56" s="23"/>
      <c r="F56" s="23"/>
      <c r="G56" s="23"/>
      <c r="H56" s="23" t="s">
        <v>28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</row>
    <row r="57" spans="1:19" x14ac:dyDescent="0.2">
      <c r="A57" s="23" t="s">
        <v>19</v>
      </c>
      <c r="B57" s="23"/>
      <c r="C57" s="23"/>
      <c r="D57" s="23"/>
      <c r="E57" s="23"/>
      <c r="F57" s="23"/>
      <c r="G57" s="23"/>
      <c r="H57" s="24">
        <f>'Disposal costs'!F12</f>
        <v>47.643125769627581</v>
      </c>
      <c r="I57" s="24">
        <f>I6*($H$57*(1+0.02*(I2-2022)))</f>
        <v>30443560.01298666</v>
      </c>
      <c r="J57" s="24">
        <f t="shared" ref="J57:R57" si="46">J6*$H$57*(1+0.02*(I2-2022))</f>
        <v>30646734.712470945</v>
      </c>
      <c r="K57" s="24">
        <f t="shared" si="46"/>
        <v>31406074.087325752</v>
      </c>
      <c r="L57" s="24">
        <f t="shared" si="46"/>
        <v>32167915.464280803</v>
      </c>
      <c r="M57" s="24">
        <f t="shared" si="46"/>
        <v>32695565.669844918</v>
      </c>
      <c r="N57" s="24">
        <f t="shared" si="46"/>
        <v>32738658.818412658</v>
      </c>
      <c r="O57" s="24">
        <f t="shared" si="46"/>
        <v>32757379.968843009</v>
      </c>
      <c r="P57" s="24">
        <f t="shared" si="46"/>
        <v>32751989.303321239</v>
      </c>
      <c r="Q57" s="24">
        <f t="shared" si="46"/>
        <v>32722761.968619119</v>
      </c>
      <c r="R57" s="24">
        <f t="shared" si="46"/>
        <v>32669986.930266082</v>
      </c>
      <c r="S57" s="23" t="s">
        <v>123</v>
      </c>
    </row>
    <row r="58" spans="1:19" x14ac:dyDescent="0.2">
      <c r="A58" s="23" t="s">
        <v>74</v>
      </c>
      <c r="B58" s="23"/>
      <c r="C58" s="23"/>
      <c r="D58" s="23"/>
      <c r="E58" s="23"/>
      <c r="F58" s="23"/>
      <c r="G58" s="23"/>
      <c r="H58" s="24">
        <f>'Disposal costs'!F13</f>
        <v>78.280771161677052</v>
      </c>
      <c r="I58" s="24">
        <f>I7*($H$58*(1+0.05*(I2-2022)))</f>
        <v>24462740.988024082</v>
      </c>
      <c r="J58" s="24">
        <f t="shared" ref="J58:R58" si="47">J7*($H$58*(1+0.05*(J2-2022)))</f>
        <v>25441250.62754504</v>
      </c>
      <c r="K58" s="24">
        <f t="shared" si="47"/>
        <v>26419760.267066006</v>
      </c>
      <c r="L58" s="24">
        <f t="shared" si="47"/>
        <v>27398269.906586967</v>
      </c>
      <c r="M58" s="24">
        <f t="shared" si="47"/>
        <v>28376779.546107929</v>
      </c>
      <c r="N58" s="24">
        <f t="shared" si="47"/>
        <v>29355289.185628895</v>
      </c>
      <c r="O58" s="24">
        <f t="shared" si="47"/>
        <v>30333798.82514986</v>
      </c>
      <c r="P58" s="24">
        <f t="shared" si="47"/>
        <v>31312308.464670822</v>
      </c>
      <c r="Q58" s="24">
        <f t="shared" si="47"/>
        <v>32290818.104191784</v>
      </c>
      <c r="R58" s="24">
        <f t="shared" si="47"/>
        <v>33269327.743712749</v>
      </c>
      <c r="S58" s="23"/>
    </row>
    <row r="59" spans="1:19" x14ac:dyDescent="0.2">
      <c r="A59" s="23" t="s">
        <v>20</v>
      </c>
      <c r="B59" s="23"/>
      <c r="C59" s="23"/>
      <c r="D59" s="23"/>
      <c r="E59" s="23"/>
      <c r="F59" s="23"/>
      <c r="G59" s="23"/>
      <c r="H59" s="24">
        <f>'Disposal costs'!F14</f>
        <v>117.41999999999999</v>
      </c>
      <c r="I59" s="24">
        <f t="shared" ref="I59:R59" si="48">I8*($H$59*(1+0.02*(I2-2022)))</f>
        <v>5986411.8659972344</v>
      </c>
      <c r="J59" s="24">
        <f t="shared" si="48"/>
        <v>4444038.6013514427</v>
      </c>
      <c r="K59" s="24">
        <f t="shared" si="48"/>
        <v>2832769.9821229023</v>
      </c>
      <c r="L59" s="24">
        <f t="shared" si="48"/>
        <v>1153445.6380359146</v>
      </c>
      <c r="M59" s="24">
        <f t="shared" si="48"/>
        <v>0</v>
      </c>
      <c r="N59" s="24">
        <f t="shared" si="48"/>
        <v>0</v>
      </c>
      <c r="O59" s="24">
        <f t="shared" si="48"/>
        <v>0</v>
      </c>
      <c r="P59" s="24">
        <f t="shared" si="48"/>
        <v>0</v>
      </c>
      <c r="Q59" s="24">
        <f t="shared" si="48"/>
        <v>0</v>
      </c>
      <c r="R59" s="24">
        <f t="shared" si="48"/>
        <v>0</v>
      </c>
      <c r="S59" s="23"/>
    </row>
    <row r="60" spans="1:19" x14ac:dyDescent="0.2">
      <c r="A60" s="22" t="s">
        <v>21</v>
      </c>
      <c r="B60" s="22"/>
      <c r="C60" s="22"/>
      <c r="D60" s="22"/>
      <c r="E60" s="22"/>
      <c r="F60" s="22"/>
      <c r="G60" s="22"/>
      <c r="H60" s="22"/>
      <c r="I60" s="26">
        <f>SUM(I57:I59)</f>
        <v>60892712.867007978</v>
      </c>
      <c r="J60" s="26">
        <f t="shared" ref="J60:R60" si="49">SUM(J57:J59)</f>
        <v>60532023.941367425</v>
      </c>
      <c r="K60" s="26">
        <f t="shared" si="49"/>
        <v>60658604.336514659</v>
      </c>
      <c r="L60" s="26">
        <f t="shared" si="49"/>
        <v>60719631.00890369</v>
      </c>
      <c r="M60" s="26">
        <f t="shared" si="49"/>
        <v>61072345.215952843</v>
      </c>
      <c r="N60" s="26">
        <f t="shared" si="49"/>
        <v>62093948.004041553</v>
      </c>
      <c r="O60" s="26">
        <f t="shared" si="49"/>
        <v>63091178.79399287</v>
      </c>
      <c r="P60" s="26">
        <f t="shared" si="49"/>
        <v>64064297.767992064</v>
      </c>
      <c r="Q60" s="26">
        <f t="shared" si="49"/>
        <v>65013580.072810903</v>
      </c>
      <c r="R60" s="26">
        <f t="shared" si="49"/>
        <v>65939314.673978835</v>
      </c>
      <c r="S60" s="23"/>
    </row>
    <row r="61" spans="1:19" x14ac:dyDescent="0.2">
      <c r="A61" s="22" t="s">
        <v>80</v>
      </c>
      <c r="J61" s="23"/>
      <c r="K61" s="23"/>
      <c r="L61" s="23"/>
      <c r="M61" s="23"/>
      <c r="N61" s="23"/>
      <c r="O61" s="23"/>
      <c r="P61" s="23"/>
      <c r="Q61" s="23"/>
      <c r="S61" s="26">
        <f>SUM(I60:R60)</f>
        <v>624077636.68256283</v>
      </c>
    </row>
    <row r="62" spans="1:19" x14ac:dyDescent="0.2">
      <c r="A62" s="23" t="s">
        <v>81</v>
      </c>
      <c r="B62" s="23"/>
      <c r="C62" s="23"/>
      <c r="D62" s="23"/>
      <c r="E62" s="23"/>
      <c r="F62" s="27">
        <f>F53</f>
        <v>220000000</v>
      </c>
      <c r="G62" s="27"/>
      <c r="H62" s="23"/>
      <c r="I62" s="27">
        <f>F62/20</f>
        <v>11000000</v>
      </c>
      <c r="J62" s="27">
        <f>I62</f>
        <v>11000000</v>
      </c>
      <c r="K62" s="27">
        <f t="shared" ref="K62:R62" si="50">J62</f>
        <v>11000000</v>
      </c>
      <c r="L62" s="27">
        <f t="shared" si="50"/>
        <v>11000000</v>
      </c>
      <c r="M62" s="27">
        <f t="shared" si="50"/>
        <v>11000000</v>
      </c>
      <c r="N62" s="27">
        <f t="shared" si="50"/>
        <v>11000000</v>
      </c>
      <c r="O62" s="27">
        <f t="shared" si="50"/>
        <v>11000000</v>
      </c>
      <c r="P62" s="27">
        <f t="shared" si="50"/>
        <v>11000000</v>
      </c>
      <c r="Q62" s="27">
        <f t="shared" si="50"/>
        <v>11000000</v>
      </c>
      <c r="R62" s="27">
        <f t="shared" si="50"/>
        <v>11000000</v>
      </c>
      <c r="S62" s="23"/>
    </row>
    <row r="63" spans="1:19" x14ac:dyDescent="0.2">
      <c r="A63" s="22" t="s">
        <v>24</v>
      </c>
      <c r="B63" s="23"/>
      <c r="C63" s="23"/>
      <c r="D63" s="23"/>
      <c r="E63" s="23"/>
      <c r="F63" s="23"/>
      <c r="G63" s="23"/>
      <c r="H63" s="23"/>
      <c r="I63" s="28">
        <f>SUM(I62+I60)</f>
        <v>71892712.867007971</v>
      </c>
      <c r="J63" s="28">
        <f t="shared" ref="J63:R63" si="51">SUM(J62+J60)</f>
        <v>71532023.941367418</v>
      </c>
      <c r="K63" s="28">
        <f t="shared" si="51"/>
        <v>71658604.336514652</v>
      </c>
      <c r="L63" s="28">
        <f t="shared" si="51"/>
        <v>71719631.008903682</v>
      </c>
      <c r="M63" s="28">
        <f t="shared" si="51"/>
        <v>72072345.215952843</v>
      </c>
      <c r="N63" s="28">
        <f t="shared" si="51"/>
        <v>73093948.004041553</v>
      </c>
      <c r="O63" s="28">
        <f t="shared" si="51"/>
        <v>74091178.793992877</v>
      </c>
      <c r="P63" s="28">
        <f t="shared" si="51"/>
        <v>75064297.767992064</v>
      </c>
      <c r="Q63" s="28">
        <f t="shared" si="51"/>
        <v>76013580.072810903</v>
      </c>
      <c r="R63" s="28">
        <f t="shared" si="51"/>
        <v>76939314.673978835</v>
      </c>
    </row>
    <row r="64" spans="1:19" x14ac:dyDescent="0.2">
      <c r="A64" s="15" t="s">
        <v>26</v>
      </c>
      <c r="I64" s="25"/>
      <c r="S64" s="26">
        <f>SUM(I63:R63)</f>
        <v>734077636.68256271</v>
      </c>
    </row>
    <row r="66" spans="1:19" s="21" customFormat="1" x14ac:dyDescent="0.2">
      <c r="A66" s="16" t="s">
        <v>32</v>
      </c>
    </row>
    <row r="67" spans="1:19" x14ac:dyDescent="0.2">
      <c r="A67" s="22" t="s">
        <v>30</v>
      </c>
      <c r="B67" s="22"/>
      <c r="C67" s="22"/>
      <c r="D67" s="23"/>
      <c r="E67" s="23"/>
      <c r="F67" s="23"/>
      <c r="G67" s="23"/>
      <c r="H67" s="23" t="s">
        <v>18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</row>
    <row r="68" spans="1:19" x14ac:dyDescent="0.2">
      <c r="A68" s="23" t="s">
        <v>19</v>
      </c>
      <c r="B68" s="23"/>
      <c r="C68" s="23"/>
      <c r="D68" s="23"/>
      <c r="E68" s="23"/>
      <c r="F68" s="23"/>
      <c r="G68" s="23"/>
      <c r="H68" s="24">
        <f>H48</f>
        <v>64</v>
      </c>
      <c r="I68" s="24">
        <f t="shared" ref="I68:R68" si="52">I15*($H$68*(1+0.02*(I2-2024)))</f>
        <v>39408358.363605917</v>
      </c>
      <c r="J68" s="24">
        <f t="shared" si="52"/>
        <v>40419878.745395876</v>
      </c>
      <c r="K68" s="24">
        <f t="shared" si="52"/>
        <v>41435066.520079799</v>
      </c>
      <c r="L68" s="24">
        <f t="shared" si="52"/>
        <v>42453726.446729936</v>
      </c>
      <c r="M68" s="24">
        <f t="shared" si="52"/>
        <v>43475670.309120238</v>
      </c>
      <c r="N68" s="24">
        <f t="shared" si="52"/>
        <v>44500716.696246296</v>
      </c>
      <c r="O68" s="24">
        <f t="shared" si="52"/>
        <v>45528690.789216824</v>
      </c>
      <c r="P68" s="24">
        <f t="shared" si="52"/>
        <v>46559424.154339671</v>
      </c>
      <c r="Q68" s="24">
        <f t="shared" si="52"/>
        <v>47592754.542230621</v>
      </c>
      <c r="R68" s="24">
        <f t="shared" si="52"/>
        <v>48628525.692777365</v>
      </c>
      <c r="S68" s="23"/>
    </row>
    <row r="69" spans="1:19" x14ac:dyDescent="0.2">
      <c r="A69" s="23" t="s">
        <v>74</v>
      </c>
      <c r="B69" s="23"/>
      <c r="C69" s="23"/>
      <c r="D69" s="23"/>
      <c r="E69" s="23"/>
      <c r="F69" s="23"/>
      <c r="G69" s="23"/>
      <c r="H69" s="24">
        <f>H49</f>
        <v>107.23583695223056</v>
      </c>
      <c r="I69" s="24">
        <f>I16*($H$69*(1+0.052*(I2-2024)))</f>
        <v>30991156.879194628</v>
      </c>
      <c r="J69" s="24">
        <f t="shared" ref="J69:R69" si="53">J16*($H$69*(1+0.02*(J2-2024)))</f>
        <v>0</v>
      </c>
      <c r="K69" s="24">
        <f t="shared" si="53"/>
        <v>0</v>
      </c>
      <c r="L69" s="24">
        <f t="shared" si="53"/>
        <v>0</v>
      </c>
      <c r="M69" s="24">
        <f t="shared" si="53"/>
        <v>0</v>
      </c>
      <c r="N69" s="24">
        <f t="shared" si="53"/>
        <v>0</v>
      </c>
      <c r="O69" s="24">
        <f t="shared" si="53"/>
        <v>0</v>
      </c>
      <c r="P69" s="24">
        <f t="shared" si="53"/>
        <v>0</v>
      </c>
      <c r="Q69" s="24">
        <f t="shared" si="53"/>
        <v>0</v>
      </c>
      <c r="R69" s="24">
        <f t="shared" si="53"/>
        <v>0</v>
      </c>
      <c r="S69" s="23"/>
    </row>
    <row r="70" spans="1:19" x14ac:dyDescent="0.2">
      <c r="A70" s="23" t="s">
        <v>20</v>
      </c>
      <c r="B70" s="23"/>
      <c r="C70" s="23"/>
      <c r="D70" s="23"/>
      <c r="E70" s="23"/>
      <c r="F70" s="23"/>
      <c r="G70" s="23"/>
      <c r="H70" s="24">
        <f>H50</f>
        <v>171</v>
      </c>
      <c r="I70" s="24">
        <f t="shared" ref="I70:R70" si="54">I17*($H$70*(1+0.02*(I2-2024)))</f>
        <v>8401054.6045327485</v>
      </c>
      <c r="J70" s="24">
        <f t="shared" si="54"/>
        <v>82923898.035908699</v>
      </c>
      <c r="K70" s="24">
        <f t="shared" si="54"/>
        <v>81371324.181691423</v>
      </c>
      <c r="L70" s="24">
        <f t="shared" si="54"/>
        <v>79710801.568372741</v>
      </c>
      <c r="M70" s="24">
        <f t="shared" si="54"/>
        <v>77944042.460742533</v>
      </c>
      <c r="N70" s="24">
        <f t="shared" si="54"/>
        <v>76072791.545046955</v>
      </c>
      <c r="O70" s="24">
        <f t="shared" si="54"/>
        <v>74098822.299900174</v>
      </c>
      <c r="P70" s="24">
        <f t="shared" si="54"/>
        <v>72023933.545044661</v>
      </c>
      <c r="Q70" s="24">
        <f t="shared" si="54"/>
        <v>69849946.161058813</v>
      </c>
      <c r="R70" s="24">
        <f t="shared" si="54"/>
        <v>67578699.973350227</v>
      </c>
      <c r="S70" s="23"/>
    </row>
    <row r="71" spans="1:19" x14ac:dyDescent="0.2">
      <c r="A71" s="22" t="s">
        <v>21</v>
      </c>
      <c r="B71" s="22"/>
      <c r="C71" s="22"/>
      <c r="D71" s="22"/>
      <c r="E71" s="22"/>
      <c r="F71" s="22"/>
      <c r="G71" s="22"/>
      <c r="H71" s="22"/>
      <c r="I71" s="26">
        <f>SUM(I68:I70)</f>
        <v>78800569.847333297</v>
      </c>
      <c r="J71" s="26">
        <f t="shared" ref="J71:R71" si="55">SUM(J68:J70)</f>
        <v>123343776.78130457</v>
      </c>
      <c r="K71" s="26">
        <f t="shared" si="55"/>
        <v>122806390.70177123</v>
      </c>
      <c r="L71" s="26">
        <f t="shared" si="55"/>
        <v>122164528.01510268</v>
      </c>
      <c r="M71" s="26">
        <f t="shared" si="55"/>
        <v>121419712.76986277</v>
      </c>
      <c r="N71" s="26">
        <f t="shared" si="55"/>
        <v>120573508.24129325</v>
      </c>
      <c r="O71" s="26">
        <f t="shared" si="55"/>
        <v>119627513.08911699</v>
      </c>
      <c r="P71" s="26">
        <f t="shared" si="55"/>
        <v>118583357.69938433</v>
      </c>
      <c r="Q71" s="26">
        <f t="shared" si="55"/>
        <v>117442700.70328943</v>
      </c>
      <c r="R71" s="26">
        <f t="shared" si="55"/>
        <v>116207225.66612759</v>
      </c>
      <c r="S71" s="34" t="s">
        <v>22</v>
      </c>
    </row>
    <row r="72" spans="1:19" x14ac:dyDescent="0.2">
      <c r="A72" s="22" t="s">
        <v>25</v>
      </c>
      <c r="J72" s="23"/>
      <c r="K72" s="23"/>
      <c r="L72" s="23"/>
      <c r="M72" s="23"/>
      <c r="N72" s="23"/>
      <c r="O72" s="23"/>
      <c r="P72" s="23"/>
      <c r="Q72" s="23"/>
      <c r="S72" s="26">
        <f>SUM(I71:R71)</f>
        <v>1160969283.5145862</v>
      </c>
    </row>
    <row r="73" spans="1:19" x14ac:dyDescent="0.2">
      <c r="A73" s="23" t="s">
        <v>81</v>
      </c>
      <c r="B73" s="23"/>
      <c r="C73" s="23"/>
      <c r="D73" s="23"/>
      <c r="E73" s="23"/>
      <c r="F73" s="23">
        <v>0</v>
      </c>
      <c r="G73" s="23"/>
      <c r="H73" s="23"/>
      <c r="I73" s="27">
        <f>F73/20</f>
        <v>0</v>
      </c>
      <c r="J73" s="27">
        <f>I73</f>
        <v>0</v>
      </c>
      <c r="K73" s="27">
        <f t="shared" ref="K73:R73" si="56">J73</f>
        <v>0</v>
      </c>
      <c r="L73" s="27">
        <f t="shared" si="56"/>
        <v>0</v>
      </c>
      <c r="M73" s="27">
        <f t="shared" si="56"/>
        <v>0</v>
      </c>
      <c r="N73" s="27">
        <f t="shared" si="56"/>
        <v>0</v>
      </c>
      <c r="O73" s="27">
        <f t="shared" si="56"/>
        <v>0</v>
      </c>
      <c r="P73" s="27">
        <f t="shared" si="56"/>
        <v>0</v>
      </c>
      <c r="Q73" s="27">
        <f t="shared" si="56"/>
        <v>0</v>
      </c>
      <c r="R73" s="27">
        <f t="shared" si="56"/>
        <v>0</v>
      </c>
      <c r="S73" s="23"/>
    </row>
    <row r="74" spans="1:19" x14ac:dyDescent="0.2">
      <c r="A74" s="22" t="s">
        <v>24</v>
      </c>
      <c r="B74" s="23"/>
      <c r="C74" s="23"/>
      <c r="D74" s="23"/>
      <c r="E74" s="23"/>
      <c r="F74" s="23"/>
      <c r="G74" s="23"/>
      <c r="H74" s="23"/>
      <c r="I74" s="28">
        <f>SUM(I73+I71)</f>
        <v>78800569.847333297</v>
      </c>
      <c r="J74" s="28">
        <f t="shared" ref="J74:R74" si="57">SUM(J73+J71)</f>
        <v>123343776.78130457</v>
      </c>
      <c r="K74" s="28">
        <f t="shared" si="57"/>
        <v>122806390.70177123</v>
      </c>
      <c r="L74" s="28">
        <f t="shared" si="57"/>
        <v>122164528.01510268</v>
      </c>
      <c r="M74" s="28">
        <f t="shared" si="57"/>
        <v>121419712.76986277</v>
      </c>
      <c r="N74" s="28">
        <f t="shared" si="57"/>
        <v>120573508.24129325</v>
      </c>
      <c r="O74" s="28">
        <f t="shared" si="57"/>
        <v>119627513.08911699</v>
      </c>
      <c r="P74" s="28">
        <f t="shared" si="57"/>
        <v>118583357.69938433</v>
      </c>
      <c r="Q74" s="28">
        <f t="shared" si="57"/>
        <v>117442700.70328943</v>
      </c>
      <c r="R74" s="28">
        <f t="shared" si="57"/>
        <v>116207225.66612759</v>
      </c>
    </row>
    <row r="75" spans="1:19" x14ac:dyDescent="0.2">
      <c r="A75" s="15" t="s">
        <v>26</v>
      </c>
      <c r="S75" s="26">
        <f>SUM(I74:R74)</f>
        <v>1160969283.5145862</v>
      </c>
    </row>
    <row r="76" spans="1:19" x14ac:dyDescent="0.2">
      <c r="A76" s="15"/>
      <c r="R76" s="26"/>
    </row>
    <row r="77" spans="1:19" x14ac:dyDescent="0.2">
      <c r="A77" s="22" t="s">
        <v>29</v>
      </c>
      <c r="B77" s="22"/>
      <c r="C77" s="22"/>
      <c r="D77" s="23"/>
      <c r="E77" s="23"/>
      <c r="F77" s="23"/>
      <c r="G77" s="23"/>
      <c r="H77" s="23" t="s">
        <v>28</v>
      </c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</row>
    <row r="78" spans="1:19" x14ac:dyDescent="0.2">
      <c r="A78" s="23" t="s">
        <v>19</v>
      </c>
      <c r="B78" s="23"/>
      <c r="C78" s="23"/>
      <c r="D78" s="23"/>
      <c r="E78" s="23"/>
      <c r="F78" s="23"/>
      <c r="G78" s="23"/>
      <c r="H78" s="24">
        <f>H57</f>
        <v>47.643125769627581</v>
      </c>
      <c r="I78" s="24">
        <f t="shared" ref="I78:R78" si="58">I15*($H$57*(1+0.02*(I2-2022)))</f>
        <v>30443560.01298666</v>
      </c>
      <c r="J78" s="24">
        <f t="shared" si="58"/>
        <v>31203948.070879508</v>
      </c>
      <c r="K78" s="24">
        <f t="shared" si="58"/>
        <v>31966896.838885136</v>
      </c>
      <c r="L78" s="24">
        <f t="shared" si="58"/>
        <v>32732264.858390987</v>
      </c>
      <c r="M78" s="24">
        <f t="shared" si="58"/>
        <v>33499915.81110758</v>
      </c>
      <c r="N78" s="24">
        <f t="shared" si="58"/>
        <v>34269718.357723519</v>
      </c>
      <c r="O78" s="24">
        <f t="shared" si="58"/>
        <v>35041545.98125679</v>
      </c>
      <c r="P78" s="24">
        <f t="shared" si="58"/>
        <v>35815276.834971808</v>
      </c>
      <c r="Q78" s="24">
        <f t="shared" si="58"/>
        <v>36590793.594735138</v>
      </c>
      <c r="R78" s="24">
        <f t="shared" si="58"/>
        <v>37367983.31568642</v>
      </c>
      <c r="S78" s="23"/>
    </row>
    <row r="79" spans="1:19" x14ac:dyDescent="0.2">
      <c r="A79" s="23" t="s">
        <v>74</v>
      </c>
      <c r="B79" s="23"/>
      <c r="C79" s="23"/>
      <c r="D79" s="23"/>
      <c r="E79" s="23"/>
      <c r="F79" s="23"/>
      <c r="G79" s="23"/>
      <c r="H79" s="24">
        <f>H58</f>
        <v>78.280771161677052</v>
      </c>
      <c r="I79" s="24">
        <f>I16*($H$58*(1+0.05*(I2-2022)))</f>
        <v>24462740.988024082</v>
      </c>
      <c r="J79" s="24">
        <f t="shared" ref="J79:R79" si="59">J16*($H$58*(1+0.05*(J2-2022)))</f>
        <v>0</v>
      </c>
      <c r="K79" s="24">
        <f t="shared" si="59"/>
        <v>0</v>
      </c>
      <c r="L79" s="24">
        <f t="shared" si="59"/>
        <v>0</v>
      </c>
      <c r="M79" s="24">
        <f t="shared" si="59"/>
        <v>0</v>
      </c>
      <c r="N79" s="24">
        <f t="shared" si="59"/>
        <v>0</v>
      </c>
      <c r="O79" s="24">
        <f t="shared" si="59"/>
        <v>0</v>
      </c>
      <c r="P79" s="24">
        <f t="shared" si="59"/>
        <v>0</v>
      </c>
      <c r="Q79" s="24">
        <f t="shared" si="59"/>
        <v>0</v>
      </c>
      <c r="R79" s="24">
        <f t="shared" si="59"/>
        <v>0</v>
      </c>
      <c r="S79" s="23"/>
    </row>
    <row r="80" spans="1:19" x14ac:dyDescent="0.2">
      <c r="A80" s="23" t="s">
        <v>20</v>
      </c>
      <c r="B80" s="23"/>
      <c r="C80" s="23"/>
      <c r="D80" s="23"/>
      <c r="E80" s="23"/>
      <c r="F80" s="23"/>
      <c r="G80" s="23"/>
      <c r="H80" s="24">
        <f>H59</f>
        <v>117.41999999999999</v>
      </c>
      <c r="I80" s="24">
        <f t="shared" ref="I80:R80" si="60">I17*($H$59*(1+0.02*(I2-2022)))</f>
        <v>5986411.8659972344</v>
      </c>
      <c r="J80" s="24">
        <f t="shared" si="60"/>
        <v>59050005.416187815</v>
      </c>
      <c r="K80" s="24">
        <f t="shared" si="60"/>
        <v>57906793.244934581</v>
      </c>
      <c r="L80" s="24">
        <f t="shared" si="60"/>
        <v>56689562.924935549</v>
      </c>
      <c r="M80" s="24">
        <f t="shared" si="60"/>
        <v>55399525.851921894</v>
      </c>
      <c r="N80" s="24">
        <f t="shared" si="60"/>
        <v>54037913.994067825</v>
      </c>
      <c r="O80" s="24">
        <f t="shared" si="60"/>
        <v>52605977.458787881</v>
      </c>
      <c r="P80" s="24">
        <f t="shared" si="60"/>
        <v>51104982.179850571</v>
      </c>
      <c r="Q80" s="24">
        <f t="shared" si="60"/>
        <v>49536207.720121376</v>
      </c>
      <c r="R80" s="24">
        <f t="shared" si="60"/>
        <v>47900945.185411252</v>
      </c>
      <c r="S80" s="23"/>
    </row>
    <row r="81" spans="1:19" x14ac:dyDescent="0.2">
      <c r="A81" s="22" t="s">
        <v>21</v>
      </c>
      <c r="B81" s="22"/>
      <c r="C81" s="22"/>
      <c r="D81" s="22"/>
      <c r="E81" s="22"/>
      <c r="F81" s="22"/>
      <c r="G81" s="22"/>
      <c r="H81" s="22"/>
      <c r="I81" s="26">
        <f>SUM(I78:I80)</f>
        <v>60892712.867007978</v>
      </c>
      <c r="J81" s="26">
        <f t="shared" ref="J81:R81" si="61">SUM(J78:J80)</f>
        <v>90253953.487067327</v>
      </c>
      <c r="K81" s="26">
        <f t="shared" si="61"/>
        <v>89873690.083819717</v>
      </c>
      <c r="L81" s="26">
        <f t="shared" si="61"/>
        <v>89421827.783326536</v>
      </c>
      <c r="M81" s="26">
        <f t="shared" si="61"/>
        <v>88899441.663029477</v>
      </c>
      <c r="N81" s="26">
        <f t="shared" si="61"/>
        <v>88307632.351791352</v>
      </c>
      <c r="O81" s="26">
        <f t="shared" si="61"/>
        <v>87647523.440044671</v>
      </c>
      <c r="P81" s="26">
        <f t="shared" si="61"/>
        <v>86920259.014822379</v>
      </c>
      <c r="Q81" s="26">
        <f t="shared" si="61"/>
        <v>86127001.314856514</v>
      </c>
      <c r="R81" s="26">
        <f t="shared" si="61"/>
        <v>85268928.501097679</v>
      </c>
      <c r="S81" s="34" t="s">
        <v>22</v>
      </c>
    </row>
    <row r="82" spans="1:19" x14ac:dyDescent="0.2">
      <c r="A82" s="22" t="s">
        <v>25</v>
      </c>
      <c r="J82" s="23"/>
      <c r="K82" s="23"/>
      <c r="L82" s="23"/>
      <c r="M82" s="23"/>
      <c r="N82" s="23"/>
      <c r="O82" s="23"/>
      <c r="P82" s="23"/>
      <c r="Q82" s="23"/>
      <c r="S82" s="26">
        <f>SUM(I81:R81)</f>
        <v>853612970.50686359</v>
      </c>
    </row>
    <row r="83" spans="1:19" x14ac:dyDescent="0.2">
      <c r="A83" s="23" t="s">
        <v>81</v>
      </c>
      <c r="B83" s="23"/>
      <c r="C83" s="23"/>
      <c r="D83" s="23"/>
      <c r="E83" s="23"/>
      <c r="F83" s="23">
        <v>0</v>
      </c>
      <c r="G83" s="23"/>
      <c r="H83" s="23"/>
      <c r="I83" s="27">
        <f>F83/20</f>
        <v>0</v>
      </c>
      <c r="J83" s="27">
        <f>I83</f>
        <v>0</v>
      </c>
      <c r="K83" s="27">
        <f t="shared" ref="K83:R83" si="62">J83</f>
        <v>0</v>
      </c>
      <c r="L83" s="27">
        <f t="shared" si="62"/>
        <v>0</v>
      </c>
      <c r="M83" s="27">
        <f t="shared" si="62"/>
        <v>0</v>
      </c>
      <c r="N83" s="27">
        <f t="shared" si="62"/>
        <v>0</v>
      </c>
      <c r="O83" s="27">
        <f t="shared" si="62"/>
        <v>0</v>
      </c>
      <c r="P83" s="27">
        <f t="shared" si="62"/>
        <v>0</v>
      </c>
      <c r="Q83" s="27">
        <f t="shared" si="62"/>
        <v>0</v>
      </c>
      <c r="R83" s="27">
        <f t="shared" si="62"/>
        <v>0</v>
      </c>
      <c r="S83" s="23"/>
    </row>
    <row r="84" spans="1:19" x14ac:dyDescent="0.2">
      <c r="A84" s="22" t="s">
        <v>24</v>
      </c>
      <c r="B84" s="23"/>
      <c r="C84" s="23"/>
      <c r="D84" s="23"/>
      <c r="E84" s="23"/>
      <c r="F84" s="23"/>
      <c r="G84" s="23"/>
      <c r="H84" s="23"/>
      <c r="I84" s="28">
        <f>SUM(I83+I81)</f>
        <v>60892712.867007978</v>
      </c>
      <c r="J84" s="28">
        <f t="shared" ref="J84:R84" si="63">SUM(J83+J81)</f>
        <v>90253953.487067327</v>
      </c>
      <c r="K84" s="28">
        <f t="shared" si="63"/>
        <v>89873690.083819717</v>
      </c>
      <c r="L84" s="28">
        <f t="shared" si="63"/>
        <v>89421827.783326536</v>
      </c>
      <c r="M84" s="28">
        <f t="shared" si="63"/>
        <v>88899441.663029477</v>
      </c>
      <c r="N84" s="28">
        <f t="shared" si="63"/>
        <v>88307632.351791352</v>
      </c>
      <c r="O84" s="28">
        <f t="shared" si="63"/>
        <v>87647523.440044671</v>
      </c>
      <c r="P84" s="28">
        <f t="shared" si="63"/>
        <v>86920259.014822379</v>
      </c>
      <c r="Q84" s="28">
        <f t="shared" si="63"/>
        <v>86127001.314856514</v>
      </c>
      <c r="R84" s="28">
        <f t="shared" si="63"/>
        <v>85268928.501097679</v>
      </c>
    </row>
    <row r="85" spans="1:19" x14ac:dyDescent="0.2">
      <c r="A85" s="15" t="s">
        <v>26</v>
      </c>
      <c r="S85" s="26">
        <f>SUM(I84:R84)</f>
        <v>853612970.50686359</v>
      </c>
    </row>
    <row r="86" spans="1:19" s="41" customFormat="1" x14ac:dyDescent="0.2"/>
    <row r="87" spans="1:19" x14ac:dyDescent="0.2">
      <c r="A87" s="15" t="s">
        <v>15</v>
      </c>
    </row>
    <row r="88" spans="1:19" x14ac:dyDescent="0.2">
      <c r="A88" s="22" t="s">
        <v>33</v>
      </c>
      <c r="B88" s="22"/>
      <c r="C88" s="22"/>
      <c r="D88" s="23"/>
      <c r="E88" s="23"/>
      <c r="F88" s="23"/>
      <c r="G88" s="23"/>
      <c r="H88" s="23" t="s">
        <v>18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</row>
    <row r="89" spans="1:19" x14ac:dyDescent="0.2">
      <c r="A89" s="23" t="s">
        <v>19</v>
      </c>
      <c r="B89" s="23"/>
      <c r="C89" s="23"/>
      <c r="D89" s="23"/>
      <c r="E89" s="23"/>
      <c r="F89" s="23"/>
      <c r="G89" s="23"/>
      <c r="H89" s="24">
        <f>H48</f>
        <v>64</v>
      </c>
      <c r="I89" s="24">
        <f t="shared" ref="I89:R89" si="64">I25*($H$89*(1+0.02*(I2-2024)))</f>
        <v>39408358.363605917</v>
      </c>
      <c r="J89" s="24">
        <f t="shared" si="64"/>
        <v>40502554.926144868</v>
      </c>
      <c r="K89" s="24">
        <f t="shared" si="64"/>
        <v>41599024.172404237</v>
      </c>
      <c r="L89" s="24">
        <f t="shared" si="64"/>
        <v>42697508.964454517</v>
      </c>
      <c r="M89" s="24">
        <f t="shared" si="64"/>
        <v>43797765.547226615</v>
      </c>
      <c r="N89" s="24">
        <f t="shared" si="64"/>
        <v>44899562.976964362</v>
      </c>
      <c r="O89" s="24">
        <f t="shared" si="64"/>
        <v>46002682.571925357</v>
      </c>
      <c r="P89" s="24">
        <f t="shared" si="64"/>
        <v>47106917.384509422</v>
      </c>
      <c r="Q89" s="24">
        <f t="shared" si="64"/>
        <v>48212071.694023706</v>
      </c>
      <c r="R89" s="24">
        <f t="shared" si="64"/>
        <v>49317960.519321069</v>
      </c>
      <c r="S89" s="23"/>
    </row>
    <row r="90" spans="1:19" x14ac:dyDescent="0.2">
      <c r="A90" s="23" t="s">
        <v>74</v>
      </c>
      <c r="B90" s="23"/>
      <c r="C90" s="23"/>
      <c r="D90" s="23"/>
      <c r="E90" s="23"/>
      <c r="F90" s="23"/>
      <c r="G90" s="23"/>
      <c r="H90" s="24">
        <f>H49</f>
        <v>107.23583695223056</v>
      </c>
      <c r="I90" s="24">
        <f>I26*($H$90*(1+0.05*(I2-2024)))</f>
        <v>30830303.123766281</v>
      </c>
      <c r="J90" s="24">
        <f t="shared" ref="J90:R90" si="65">J26*($H$90*(1+0.05*(J2-2024)))</f>
        <v>0</v>
      </c>
      <c r="K90" s="24">
        <f t="shared" si="65"/>
        <v>0</v>
      </c>
      <c r="L90" s="24">
        <f t="shared" si="65"/>
        <v>0</v>
      </c>
      <c r="M90" s="24">
        <f t="shared" si="65"/>
        <v>0</v>
      </c>
      <c r="N90" s="24">
        <f t="shared" si="65"/>
        <v>0</v>
      </c>
      <c r="O90" s="24">
        <f t="shared" si="65"/>
        <v>0</v>
      </c>
      <c r="P90" s="24">
        <f t="shared" si="65"/>
        <v>0</v>
      </c>
      <c r="Q90" s="24">
        <f t="shared" si="65"/>
        <v>0</v>
      </c>
      <c r="R90" s="24">
        <f t="shared" si="65"/>
        <v>0</v>
      </c>
      <c r="S90" s="23"/>
    </row>
    <row r="91" spans="1:19" x14ac:dyDescent="0.2">
      <c r="A91" s="23" t="s">
        <v>20</v>
      </c>
      <c r="B91" s="23"/>
      <c r="C91" s="23"/>
      <c r="D91" s="23"/>
      <c r="E91" s="23"/>
      <c r="F91" s="23"/>
      <c r="G91" s="23"/>
      <c r="H91" s="24">
        <f>H50</f>
        <v>171</v>
      </c>
      <c r="I91" s="24">
        <f t="shared" ref="I91:R91" si="66">I27*($H$91*(1+0.02*(I2-2024)))</f>
        <v>8401054.6045327485</v>
      </c>
      <c r="J91" s="24">
        <f t="shared" si="66"/>
        <v>50774558.228139967</v>
      </c>
      <c r="K91" s="24">
        <f t="shared" si="66"/>
        <v>47718973.611412302</v>
      </c>
      <c r="L91" s="24">
        <f t="shared" si="66"/>
        <v>44552780.063921757</v>
      </c>
      <c r="M91" s="24">
        <f t="shared" si="66"/>
        <v>41279444.416430049</v>
      </c>
      <c r="N91" s="24">
        <f t="shared" si="66"/>
        <v>37902415.830227971</v>
      </c>
      <c r="O91" s="24">
        <f t="shared" si="66"/>
        <v>34425121.013385981</v>
      </c>
      <c r="P91" s="24">
        <f t="shared" si="66"/>
        <v>30850959.8216451</v>
      </c>
      <c r="Q91" s="24">
        <f t="shared" si="66"/>
        <v>27183301.222724404</v>
      </c>
      <c r="R91" s="24">
        <f t="shared" si="66"/>
        <v>23425479.603820384</v>
      </c>
      <c r="S91" s="23" t="s">
        <v>35</v>
      </c>
    </row>
    <row r="92" spans="1:19" x14ac:dyDescent="0.2">
      <c r="A92" s="22" t="s">
        <v>21</v>
      </c>
      <c r="B92" s="22"/>
      <c r="C92" s="22"/>
      <c r="D92" s="22"/>
      <c r="E92" s="22"/>
      <c r="F92" s="22"/>
      <c r="G92" s="22"/>
      <c r="H92" s="22"/>
      <c r="I92" s="26">
        <f>SUM(I89:I91)</f>
        <v>78639716.091904938</v>
      </c>
      <c r="J92" s="26">
        <f t="shared" ref="J92:R92" si="67">SUM(J89:J91)</f>
        <v>91277113.154284835</v>
      </c>
      <c r="K92" s="26">
        <f t="shared" si="67"/>
        <v>89317997.783816546</v>
      </c>
      <c r="L92" s="26">
        <f t="shared" si="67"/>
        <v>87250289.028376281</v>
      </c>
      <c r="M92" s="26">
        <f t="shared" si="67"/>
        <v>85077209.963656664</v>
      </c>
      <c r="N92" s="26">
        <f t="shared" si="67"/>
        <v>82801978.807192326</v>
      </c>
      <c r="O92" s="26">
        <f t="shared" si="67"/>
        <v>80427803.585311338</v>
      </c>
      <c r="P92" s="26">
        <f t="shared" si="67"/>
        <v>77957877.206154525</v>
      </c>
      <c r="Q92" s="26">
        <f t="shared" si="67"/>
        <v>75395372.916748106</v>
      </c>
      <c r="R92" s="26">
        <f t="shared" si="67"/>
        <v>72743440.123141453</v>
      </c>
      <c r="S92" s="34" t="s">
        <v>22</v>
      </c>
    </row>
    <row r="93" spans="1:19" x14ac:dyDescent="0.2">
      <c r="A93" s="22" t="s">
        <v>25</v>
      </c>
      <c r="J93" s="23"/>
      <c r="K93" s="23"/>
      <c r="L93" s="23"/>
      <c r="M93" s="23"/>
      <c r="N93" s="23"/>
      <c r="O93" s="23"/>
      <c r="P93" s="23"/>
      <c r="Q93" s="23"/>
      <c r="S93" s="26">
        <f>SUM(I92:R92)</f>
        <v>820888798.66058695</v>
      </c>
    </row>
    <row r="94" spans="1:19" x14ac:dyDescent="0.2">
      <c r="A94" s="23" t="s">
        <v>81</v>
      </c>
      <c r="B94" s="23"/>
      <c r="C94" s="23"/>
      <c r="D94" s="23"/>
      <c r="E94" s="23"/>
      <c r="F94" s="23">
        <v>0</v>
      </c>
      <c r="G94" s="23"/>
      <c r="H94" s="23"/>
      <c r="I94" s="27">
        <f>F94/20</f>
        <v>0</v>
      </c>
      <c r="J94" s="27">
        <f>I94</f>
        <v>0</v>
      </c>
      <c r="K94" s="27">
        <f t="shared" ref="K94:R94" si="68">J94</f>
        <v>0</v>
      </c>
      <c r="L94" s="27">
        <f t="shared" si="68"/>
        <v>0</v>
      </c>
      <c r="M94" s="27">
        <f t="shared" si="68"/>
        <v>0</v>
      </c>
      <c r="N94" s="27">
        <f t="shared" si="68"/>
        <v>0</v>
      </c>
      <c r="O94" s="27">
        <f t="shared" si="68"/>
        <v>0</v>
      </c>
      <c r="P94" s="27">
        <f t="shared" si="68"/>
        <v>0</v>
      </c>
      <c r="Q94" s="27">
        <f t="shared" si="68"/>
        <v>0</v>
      </c>
      <c r="R94" s="27">
        <f t="shared" si="68"/>
        <v>0</v>
      </c>
      <c r="S94" s="23"/>
    </row>
    <row r="95" spans="1:19" x14ac:dyDescent="0.2">
      <c r="A95" s="22" t="s">
        <v>24</v>
      </c>
      <c r="B95" s="23"/>
      <c r="C95" s="23"/>
      <c r="D95" s="23"/>
      <c r="E95" s="23"/>
      <c r="F95" s="23"/>
      <c r="G95" s="23"/>
      <c r="H95" s="23"/>
      <c r="I95" s="28">
        <f>SUM(I94+I92)</f>
        <v>78639716.091904938</v>
      </c>
      <c r="J95" s="28">
        <f t="shared" ref="J95:R95" si="69">SUM(J94+J92)</f>
        <v>91277113.154284835</v>
      </c>
      <c r="K95" s="28">
        <f t="shared" si="69"/>
        <v>89317997.783816546</v>
      </c>
      <c r="L95" s="28">
        <f t="shared" si="69"/>
        <v>87250289.028376281</v>
      </c>
      <c r="M95" s="28">
        <f t="shared" si="69"/>
        <v>85077209.963656664</v>
      </c>
      <c r="N95" s="28">
        <f t="shared" si="69"/>
        <v>82801978.807192326</v>
      </c>
      <c r="O95" s="28">
        <f t="shared" si="69"/>
        <v>80427803.585311338</v>
      </c>
      <c r="P95" s="28">
        <f t="shared" si="69"/>
        <v>77957877.206154525</v>
      </c>
      <c r="Q95" s="28">
        <f t="shared" si="69"/>
        <v>75395372.916748106</v>
      </c>
      <c r="R95" s="28">
        <f t="shared" si="69"/>
        <v>72743440.123141453</v>
      </c>
    </row>
    <row r="96" spans="1:19" x14ac:dyDescent="0.2">
      <c r="A96" s="15" t="s">
        <v>26</v>
      </c>
      <c r="S96" s="26">
        <f>SUM(I95:R95)</f>
        <v>820888798.66058695</v>
      </c>
    </row>
    <row r="97" spans="1:19" x14ac:dyDescent="0.2">
      <c r="A97" s="15"/>
      <c r="R97" s="26"/>
    </row>
    <row r="98" spans="1:19" x14ac:dyDescent="0.2">
      <c r="A98" s="22" t="s">
        <v>34</v>
      </c>
      <c r="B98" s="22"/>
      <c r="C98" s="22"/>
      <c r="D98" s="23"/>
      <c r="E98" s="23"/>
      <c r="F98" s="23"/>
      <c r="G98" s="23"/>
      <c r="H98" s="23" t="s">
        <v>28</v>
      </c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</row>
    <row r="99" spans="1:19" x14ac:dyDescent="0.2">
      <c r="A99" s="23" t="s">
        <v>19</v>
      </c>
      <c r="B99" s="23"/>
      <c r="C99" s="23"/>
      <c r="D99" s="23"/>
      <c r="E99" s="23"/>
      <c r="F99" s="23"/>
      <c r="G99" s="23"/>
      <c r="H99" s="24">
        <f>H78</f>
        <v>47.643125769627581</v>
      </c>
      <c r="I99" s="24">
        <f t="shared" ref="I99:R99" si="70">I25*($H$57*(1+0.02*(I2-2022)))</f>
        <v>30443560.01298666</v>
      </c>
      <c r="J99" s="24">
        <f t="shared" si="70"/>
        <v>31267773.676766168</v>
      </c>
      <c r="K99" s="24">
        <f t="shared" si="70"/>
        <v>32093389.150783829</v>
      </c>
      <c r="L99" s="24">
        <f t="shared" si="70"/>
        <v>32920223.716325842</v>
      </c>
      <c r="M99" s="24">
        <f t="shared" si="70"/>
        <v>33748104.356172033</v>
      </c>
      <c r="N99" s="24">
        <f t="shared" si="70"/>
        <v>34576867.336953029</v>
      </c>
      <c r="O99" s="24">
        <f t="shared" si="70"/>
        <v>35406357.807834789</v>
      </c>
      <c r="P99" s="24">
        <f t="shared" si="70"/>
        <v>36236429.414926447</v>
      </c>
      <c r="Q99" s="24">
        <f t="shared" si="70"/>
        <v>37066943.93082951</v>
      </c>
      <c r="R99" s="24">
        <f t="shared" si="70"/>
        <v>37897770.898766793</v>
      </c>
      <c r="S99" s="23"/>
    </row>
    <row r="100" spans="1:19" x14ac:dyDescent="0.2">
      <c r="A100" s="23" t="s">
        <v>74</v>
      </c>
      <c r="B100" s="23"/>
      <c r="C100" s="23"/>
      <c r="D100" s="23"/>
      <c r="E100" s="23"/>
      <c r="F100" s="23"/>
      <c r="G100" s="23"/>
      <c r="H100" s="24">
        <f>H79</f>
        <v>78.280771161677052</v>
      </c>
      <c r="I100" s="24">
        <f>I26*($H$58*(1+0.05*(I2-2022)))</f>
        <v>24462740.988024082</v>
      </c>
      <c r="J100" s="24">
        <f t="shared" ref="J100:R100" si="71">J26*($H$58*(1+0.05*(J2-2022)))</f>
        <v>0</v>
      </c>
      <c r="K100" s="24">
        <f t="shared" si="71"/>
        <v>0</v>
      </c>
      <c r="L100" s="24">
        <f t="shared" si="71"/>
        <v>0</v>
      </c>
      <c r="M100" s="24">
        <f t="shared" si="71"/>
        <v>0</v>
      </c>
      <c r="N100" s="24">
        <f t="shared" si="71"/>
        <v>0</v>
      </c>
      <c r="O100" s="24">
        <f t="shared" si="71"/>
        <v>0</v>
      </c>
      <c r="P100" s="24">
        <f t="shared" si="71"/>
        <v>0</v>
      </c>
      <c r="Q100" s="24">
        <f t="shared" si="71"/>
        <v>0</v>
      </c>
      <c r="R100" s="24">
        <f t="shared" si="71"/>
        <v>0</v>
      </c>
      <c r="S100" s="23"/>
    </row>
    <row r="101" spans="1:19" x14ac:dyDescent="0.2">
      <c r="A101" s="23" t="s">
        <v>20</v>
      </c>
      <c r="B101" s="23"/>
      <c r="C101" s="23"/>
      <c r="D101" s="23"/>
      <c r="E101" s="23"/>
      <c r="F101" s="23"/>
      <c r="G101" s="23"/>
      <c r="H101" s="24">
        <f>H80</f>
        <v>117.41999999999999</v>
      </c>
      <c r="I101" s="24">
        <f t="shared" ref="I101:R101" si="72">I27*($H$59*(1+0.02*(I2-2022)))</f>
        <v>5986411.8659972344</v>
      </c>
      <c r="J101" s="24">
        <f t="shared" si="72"/>
        <v>36156500.229618683</v>
      </c>
      <c r="K101" s="24">
        <f t="shared" si="72"/>
        <v>33958556.857285045</v>
      </c>
      <c r="L101" s="24">
        <f t="shared" si="72"/>
        <v>31685512.869270064</v>
      </c>
      <c r="M101" s="24">
        <f t="shared" si="72"/>
        <v>29339787.569432199</v>
      </c>
      <c r="N101" s="24">
        <f t="shared" si="72"/>
        <v>26923785.038024001</v>
      </c>
      <c r="O101" s="24">
        <f t="shared" si="72"/>
        <v>24439890.99741289</v>
      </c>
      <c r="P101" s="24">
        <f t="shared" si="72"/>
        <v>21890469.935669512</v>
      </c>
      <c r="Q101" s="24">
        <f t="shared" si="72"/>
        <v>19277862.47368947</v>
      </c>
      <c r="R101" s="24">
        <f t="shared" si="72"/>
        <v>16604382.962191822</v>
      </c>
      <c r="S101" s="23" t="s">
        <v>36</v>
      </c>
    </row>
    <row r="102" spans="1:19" x14ac:dyDescent="0.2">
      <c r="A102" s="22" t="s">
        <v>21</v>
      </c>
      <c r="B102" s="22"/>
      <c r="C102" s="22"/>
      <c r="D102" s="22"/>
      <c r="E102" s="22"/>
      <c r="F102" s="22"/>
      <c r="G102" s="22"/>
      <c r="H102" s="22"/>
      <c r="I102" s="26">
        <f>SUM(I99:I101)</f>
        <v>60892712.867007978</v>
      </c>
      <c r="J102" s="26">
        <f t="shared" ref="J102:R102" si="73">SUM(J99:J101)</f>
        <v>67424273.906384856</v>
      </c>
      <c r="K102" s="26">
        <f t="shared" si="73"/>
        <v>66051946.008068874</v>
      </c>
      <c r="L102" s="26">
        <f t="shared" si="73"/>
        <v>64605736.585595906</v>
      </c>
      <c r="M102" s="26">
        <f t="shared" si="73"/>
        <v>63087891.925604232</v>
      </c>
      <c r="N102" s="26">
        <f t="shared" si="73"/>
        <v>61500652.37497703</v>
      </c>
      <c r="O102" s="26">
        <f t="shared" si="73"/>
        <v>59846248.805247679</v>
      </c>
      <c r="P102" s="26">
        <f t="shared" si="73"/>
        <v>58126899.350595959</v>
      </c>
      <c r="Q102" s="26">
        <f t="shared" si="73"/>
        <v>56344806.404518977</v>
      </c>
      <c r="R102" s="26">
        <f t="shared" si="73"/>
        <v>54502153.860958613</v>
      </c>
      <c r="S102" s="34" t="s">
        <v>22</v>
      </c>
    </row>
    <row r="103" spans="1:19" x14ac:dyDescent="0.2">
      <c r="A103" s="22" t="s">
        <v>25</v>
      </c>
      <c r="J103" s="23"/>
      <c r="K103" s="23"/>
      <c r="L103" s="23"/>
      <c r="M103" s="23"/>
      <c r="N103" s="23"/>
      <c r="O103" s="23"/>
      <c r="P103" s="23"/>
      <c r="Q103" s="23"/>
      <c r="S103" s="26">
        <f>SUM(I102:R102)</f>
        <v>612383322.08896005</v>
      </c>
    </row>
    <row r="104" spans="1:19" x14ac:dyDescent="0.2">
      <c r="A104" s="23" t="s">
        <v>81</v>
      </c>
      <c r="B104" s="23"/>
      <c r="C104" s="23"/>
      <c r="D104" s="23"/>
      <c r="E104" s="23"/>
      <c r="F104" s="23">
        <v>0</v>
      </c>
      <c r="G104" s="23"/>
      <c r="H104" s="23"/>
      <c r="I104" s="27">
        <f>F104/20</f>
        <v>0</v>
      </c>
      <c r="J104" s="27">
        <f>I104</f>
        <v>0</v>
      </c>
      <c r="K104" s="27">
        <f t="shared" ref="K104:R104" si="74">J104</f>
        <v>0</v>
      </c>
      <c r="L104" s="27">
        <f t="shared" si="74"/>
        <v>0</v>
      </c>
      <c r="M104" s="27">
        <f t="shared" si="74"/>
        <v>0</v>
      </c>
      <c r="N104" s="27">
        <f t="shared" si="74"/>
        <v>0</v>
      </c>
      <c r="O104" s="27">
        <f t="shared" si="74"/>
        <v>0</v>
      </c>
      <c r="P104" s="27">
        <f t="shared" si="74"/>
        <v>0</v>
      </c>
      <c r="Q104" s="27">
        <f t="shared" si="74"/>
        <v>0</v>
      </c>
      <c r="R104" s="27">
        <f t="shared" si="74"/>
        <v>0</v>
      </c>
      <c r="S104" s="23"/>
    </row>
    <row r="105" spans="1:19" x14ac:dyDescent="0.2">
      <c r="A105" s="22" t="s">
        <v>24</v>
      </c>
      <c r="B105" s="23"/>
      <c r="C105" s="23"/>
      <c r="D105" s="23"/>
      <c r="E105" s="23"/>
      <c r="F105" s="23"/>
      <c r="G105" s="23"/>
      <c r="H105" s="23"/>
      <c r="I105" s="28">
        <f>SUM(I104+I102)</f>
        <v>60892712.867007978</v>
      </c>
      <c r="J105" s="28">
        <f t="shared" ref="J105:R105" si="75">SUM(J104+J102)</f>
        <v>67424273.906384856</v>
      </c>
      <c r="K105" s="28">
        <f t="shared" si="75"/>
        <v>66051946.008068874</v>
      </c>
      <c r="L105" s="28">
        <f t="shared" si="75"/>
        <v>64605736.585595906</v>
      </c>
      <c r="M105" s="28">
        <f t="shared" si="75"/>
        <v>63087891.925604232</v>
      </c>
      <c r="N105" s="28">
        <f t="shared" si="75"/>
        <v>61500652.37497703</v>
      </c>
      <c r="O105" s="28">
        <f t="shared" si="75"/>
        <v>59846248.805247679</v>
      </c>
      <c r="P105" s="28">
        <f t="shared" si="75"/>
        <v>58126899.350595959</v>
      </c>
      <c r="Q105" s="28">
        <f t="shared" si="75"/>
        <v>56344806.404518977</v>
      </c>
      <c r="R105" s="28">
        <f t="shared" si="75"/>
        <v>54502153.860958613</v>
      </c>
    </row>
    <row r="106" spans="1:19" x14ac:dyDescent="0.2">
      <c r="A106" s="15" t="s">
        <v>26</v>
      </c>
      <c r="S106" s="26">
        <f>SUM(I105:R105)</f>
        <v>612383322.08896005</v>
      </c>
    </row>
    <row r="107" spans="1:19" s="41" customFormat="1" x14ac:dyDescent="0.2"/>
    <row r="108" spans="1:19" x14ac:dyDescent="0.2">
      <c r="A108" s="15" t="s">
        <v>102</v>
      </c>
    </row>
    <row r="109" spans="1:19" x14ac:dyDescent="0.2">
      <c r="A109" s="22" t="s">
        <v>104</v>
      </c>
      <c r="B109" s="22"/>
      <c r="C109" s="22"/>
      <c r="D109" s="23"/>
      <c r="E109" s="23"/>
      <c r="F109" s="23"/>
      <c r="G109" s="23"/>
      <c r="H109" s="23" t="s">
        <v>18</v>
      </c>
      <c r="I109" s="23"/>
      <c r="J109" s="23"/>
      <c r="K109" s="23"/>
      <c r="L109" s="23"/>
      <c r="M109" s="23"/>
      <c r="N109" s="23"/>
      <c r="O109" s="23"/>
      <c r="P109" s="23"/>
      <c r="Q109" s="23"/>
      <c r="R109" s="23"/>
      <c r="S109" s="23"/>
    </row>
    <row r="110" spans="1:19" x14ac:dyDescent="0.2">
      <c r="A110" s="23" t="s">
        <v>19</v>
      </c>
      <c r="B110" s="23"/>
      <c r="C110" s="23"/>
      <c r="D110" s="23"/>
      <c r="E110" s="23"/>
      <c r="F110" s="23"/>
      <c r="G110" s="23"/>
      <c r="H110" s="24">
        <f>H89</f>
        <v>64</v>
      </c>
      <c r="I110" s="24">
        <f t="shared" ref="I110:R110" si="76">I36*($H$110*(1+0.02*(I2-2024)))</f>
        <v>39408358.363605917</v>
      </c>
      <c r="J110" s="24">
        <f t="shared" si="76"/>
        <v>40502554.926144868</v>
      </c>
      <c r="K110" s="24">
        <f t="shared" si="76"/>
        <v>41599024.172404237</v>
      </c>
      <c r="L110" s="24">
        <f t="shared" si="76"/>
        <v>41452233.666741021</v>
      </c>
      <c r="M110" s="24">
        <f t="shared" si="76"/>
        <v>41007382.170919724</v>
      </c>
      <c r="N110" s="24">
        <f t="shared" si="76"/>
        <v>40525262.468979515</v>
      </c>
      <c r="O110" s="24">
        <f t="shared" si="76"/>
        <v>40006938.389800809</v>
      </c>
      <c r="P110" s="24">
        <f t="shared" si="76"/>
        <v>39453475.446411677</v>
      </c>
      <c r="Q110" s="24">
        <f t="shared" si="76"/>
        <v>38865938.818318218</v>
      </c>
      <c r="R110" s="24">
        <f t="shared" si="76"/>
        <v>38245391.482154429</v>
      </c>
      <c r="S110" s="23"/>
    </row>
    <row r="111" spans="1:19" x14ac:dyDescent="0.2">
      <c r="A111" s="23" t="s">
        <v>74</v>
      </c>
      <c r="B111" s="23"/>
      <c r="C111" s="23"/>
      <c r="D111" s="23"/>
      <c r="E111" s="23"/>
      <c r="F111" s="23"/>
      <c r="G111" s="23"/>
      <c r="H111" s="24">
        <f>H90</f>
        <v>107.23583695223056</v>
      </c>
      <c r="I111" s="24">
        <f>I37*($H$111*(1+0.05*(I2-2024)))</f>
        <v>30830303.123766281</v>
      </c>
      <c r="J111" s="24">
        <f t="shared" ref="J111:R111" si="77">J37*($H$111*(1+0.05*(J2-2024)))</f>
        <v>32170751.085669167</v>
      </c>
      <c r="K111" s="24">
        <f t="shared" si="77"/>
        <v>33511199.04757205</v>
      </c>
      <c r="L111" s="24">
        <f t="shared" si="77"/>
        <v>34851647.009474933</v>
      </c>
      <c r="M111" s="24">
        <f t="shared" si="77"/>
        <v>36192094.971377812</v>
      </c>
      <c r="N111" s="24">
        <f t="shared" si="77"/>
        <v>37532542.933280692</v>
      </c>
      <c r="O111" s="24">
        <f t="shared" si="77"/>
        <v>38872990.895183578</v>
      </c>
      <c r="P111" s="24">
        <f t="shared" si="77"/>
        <v>40213438.857086457</v>
      </c>
      <c r="Q111" s="24">
        <f t="shared" si="77"/>
        <v>41553886.818989344</v>
      </c>
      <c r="R111" s="24">
        <f t="shared" si="77"/>
        <v>42894334.780892223</v>
      </c>
      <c r="S111" s="23"/>
    </row>
    <row r="112" spans="1:19" x14ac:dyDescent="0.2">
      <c r="A112" s="23" t="s">
        <v>20</v>
      </c>
      <c r="B112" s="23"/>
      <c r="C112" s="23"/>
      <c r="D112" s="23"/>
      <c r="E112" s="23"/>
      <c r="F112" s="23"/>
      <c r="G112" s="23"/>
      <c r="H112" s="24">
        <f>H91</f>
        <v>171</v>
      </c>
      <c r="I112" s="24">
        <f t="shared" ref="I112:R112" si="78">I38*($H$112*(1+0.02*(I2-2024)))</f>
        <v>8401054.6045327485</v>
      </c>
      <c r="J112" s="24">
        <f t="shared" si="78"/>
        <v>4604558.2281399649</v>
      </c>
      <c r="K112" s="24">
        <f t="shared" si="78"/>
        <v>693973.61141229677</v>
      </c>
      <c r="L112" s="24">
        <f t="shared" si="78"/>
        <v>0</v>
      </c>
      <c r="M112" s="24">
        <f t="shared" si="78"/>
        <v>0</v>
      </c>
      <c r="N112" s="24">
        <f t="shared" si="78"/>
        <v>0</v>
      </c>
      <c r="O112" s="24">
        <f t="shared" si="78"/>
        <v>0</v>
      </c>
      <c r="P112" s="24">
        <f t="shared" si="78"/>
        <v>0</v>
      </c>
      <c r="Q112" s="24">
        <f t="shared" si="78"/>
        <v>0</v>
      </c>
      <c r="R112" s="24">
        <f t="shared" si="78"/>
        <v>0</v>
      </c>
      <c r="S112" s="23" t="s">
        <v>35</v>
      </c>
    </row>
    <row r="113" spans="1:19" x14ac:dyDescent="0.2">
      <c r="A113" s="22" t="s">
        <v>21</v>
      </c>
      <c r="B113" s="22"/>
      <c r="C113" s="22"/>
      <c r="D113" s="22"/>
      <c r="E113" s="22"/>
      <c r="F113" s="22"/>
      <c r="G113" s="22"/>
      <c r="H113" s="22"/>
      <c r="I113" s="26">
        <f>SUM(I110:I112)</f>
        <v>78639716.091904938</v>
      </c>
      <c r="J113" s="26">
        <f t="shared" ref="J113:R113" si="79">SUM(J110:J112)</f>
        <v>77277864.239953995</v>
      </c>
      <c r="K113" s="26">
        <f t="shared" si="79"/>
        <v>75804196.831388593</v>
      </c>
      <c r="L113" s="26">
        <f t="shared" si="79"/>
        <v>76303880.676215947</v>
      </c>
      <c r="M113" s="26">
        <f t="shared" si="79"/>
        <v>77199477.142297536</v>
      </c>
      <c r="N113" s="26">
        <f t="shared" si="79"/>
        <v>78057805.402260214</v>
      </c>
      <c r="O113" s="26">
        <f t="shared" si="79"/>
        <v>78879929.28498438</v>
      </c>
      <c r="P113" s="26">
        <f t="shared" si="79"/>
        <v>79666914.303498134</v>
      </c>
      <c r="Q113" s="26">
        <f t="shared" si="79"/>
        <v>80419825.637307554</v>
      </c>
      <c r="R113" s="26">
        <f t="shared" si="79"/>
        <v>81139726.263046652</v>
      </c>
      <c r="S113" s="34" t="s">
        <v>22</v>
      </c>
    </row>
    <row r="114" spans="1:19" x14ac:dyDescent="0.2">
      <c r="A114" s="22" t="s">
        <v>25</v>
      </c>
      <c r="J114" s="23"/>
      <c r="K114" s="23"/>
      <c r="L114" s="23"/>
      <c r="M114" s="23"/>
      <c r="N114" s="23"/>
      <c r="O114" s="23"/>
      <c r="P114" s="23"/>
      <c r="Q114" s="23"/>
      <c r="S114" s="26">
        <f>SUM(I113:R113)</f>
        <v>783389335.87285781</v>
      </c>
    </row>
    <row r="115" spans="1:19" x14ac:dyDescent="0.2">
      <c r="A115" s="23" t="s">
        <v>81</v>
      </c>
      <c r="B115" s="23"/>
      <c r="C115" s="23"/>
      <c r="D115" s="23"/>
      <c r="E115" s="23"/>
      <c r="F115" s="24">
        <f>F62</f>
        <v>220000000</v>
      </c>
      <c r="G115" s="24"/>
      <c r="H115" s="23"/>
      <c r="I115" s="27">
        <f>F115/20</f>
        <v>11000000</v>
      </c>
      <c r="J115" s="27">
        <f>I115</f>
        <v>11000000</v>
      </c>
      <c r="K115" s="27">
        <f t="shared" ref="K115:R115" si="80">J115</f>
        <v>11000000</v>
      </c>
      <c r="L115" s="27">
        <f t="shared" si="80"/>
        <v>11000000</v>
      </c>
      <c r="M115" s="27">
        <f t="shared" si="80"/>
        <v>11000000</v>
      </c>
      <c r="N115" s="27">
        <f t="shared" si="80"/>
        <v>11000000</v>
      </c>
      <c r="O115" s="27">
        <f t="shared" si="80"/>
        <v>11000000</v>
      </c>
      <c r="P115" s="27">
        <f t="shared" si="80"/>
        <v>11000000</v>
      </c>
      <c r="Q115" s="27">
        <f t="shared" si="80"/>
        <v>11000000</v>
      </c>
      <c r="R115" s="27">
        <f t="shared" si="80"/>
        <v>11000000</v>
      </c>
      <c r="S115" s="23"/>
    </row>
    <row r="116" spans="1:19" x14ac:dyDescent="0.2">
      <c r="A116" s="22" t="s">
        <v>24</v>
      </c>
      <c r="B116" s="23"/>
      <c r="C116" s="23"/>
      <c r="D116" s="23"/>
      <c r="E116" s="23"/>
      <c r="F116" s="23"/>
      <c r="G116" s="23"/>
      <c r="H116" s="23"/>
      <c r="I116" s="28">
        <f>SUM(I115+I113)</f>
        <v>89639716.091904938</v>
      </c>
      <c r="J116" s="28">
        <f t="shared" ref="J116:R116" si="81">SUM(J115+J113)</f>
        <v>88277864.239953995</v>
      </c>
      <c r="K116" s="28">
        <f t="shared" si="81"/>
        <v>86804196.831388593</v>
      </c>
      <c r="L116" s="28">
        <f t="shared" si="81"/>
        <v>87303880.676215947</v>
      </c>
      <c r="M116" s="28">
        <f t="shared" si="81"/>
        <v>88199477.142297536</v>
      </c>
      <c r="N116" s="28">
        <f t="shared" si="81"/>
        <v>89057805.402260214</v>
      </c>
      <c r="O116" s="28">
        <f t="shared" si="81"/>
        <v>89879929.28498438</v>
      </c>
      <c r="P116" s="28">
        <f t="shared" si="81"/>
        <v>90666914.303498134</v>
      </c>
      <c r="Q116" s="28">
        <f t="shared" si="81"/>
        <v>91419825.637307554</v>
      </c>
      <c r="R116" s="28">
        <f t="shared" si="81"/>
        <v>92139726.263046652</v>
      </c>
    </row>
    <row r="117" spans="1:19" x14ac:dyDescent="0.2">
      <c r="A117" s="15" t="s">
        <v>26</v>
      </c>
      <c r="S117" s="26">
        <f>SUM(I116:R116)</f>
        <v>893389335.87285781</v>
      </c>
    </row>
    <row r="118" spans="1:19" x14ac:dyDescent="0.2">
      <c r="A118" s="15"/>
      <c r="R118" s="26"/>
    </row>
    <row r="119" spans="1:19" x14ac:dyDescent="0.2">
      <c r="A119" s="22" t="s">
        <v>105</v>
      </c>
      <c r="B119" s="22"/>
      <c r="C119" s="22"/>
      <c r="D119" s="23"/>
      <c r="E119" s="23"/>
      <c r="F119" s="23"/>
      <c r="G119" s="23"/>
      <c r="H119" s="23" t="s">
        <v>28</v>
      </c>
      <c r="I119" s="23"/>
      <c r="J119" s="23"/>
      <c r="K119" s="23"/>
      <c r="L119" s="23"/>
      <c r="M119" s="23"/>
      <c r="N119" s="23"/>
      <c r="O119" s="23"/>
      <c r="P119" s="23"/>
      <c r="Q119" s="23"/>
      <c r="R119" s="23"/>
      <c r="S119" s="23"/>
    </row>
    <row r="120" spans="1:19" x14ac:dyDescent="0.2">
      <c r="A120" s="23" t="s">
        <v>19</v>
      </c>
      <c r="B120" s="23"/>
      <c r="C120" s="23"/>
      <c r="D120" s="23"/>
      <c r="E120" s="23"/>
      <c r="F120" s="23"/>
      <c r="G120" s="23"/>
      <c r="H120" s="24">
        <f>H99</f>
        <v>47.643125769627581</v>
      </c>
      <c r="I120" s="24">
        <f t="shared" ref="I120:R120" si="82">I36*($H$120*(1+0.02*(I2-2022)))</f>
        <v>30443560.01298666</v>
      </c>
      <c r="J120" s="24">
        <f t="shared" si="82"/>
        <v>31267773.676766168</v>
      </c>
      <c r="K120" s="24">
        <f t="shared" si="82"/>
        <v>32093389.150783829</v>
      </c>
      <c r="L120" s="24">
        <f t="shared" si="82"/>
        <v>31960103.503615763</v>
      </c>
      <c r="M120" s="24">
        <f t="shared" si="82"/>
        <v>31597991.257918425</v>
      </c>
      <c r="N120" s="24">
        <f t="shared" si="82"/>
        <v>31208246.389926068</v>
      </c>
      <c r="O120" s="24">
        <f t="shared" si="82"/>
        <v>30791682.054858141</v>
      </c>
      <c r="P120" s="24">
        <f t="shared" si="82"/>
        <v>30349111.289068472</v>
      </c>
      <c r="Q120" s="24">
        <f t="shared" si="82"/>
        <v>29881345.571304943</v>
      </c>
      <c r="R120" s="24">
        <f t="shared" si="82"/>
        <v>29389193.491821401</v>
      </c>
      <c r="S120" s="23"/>
    </row>
    <row r="121" spans="1:19" x14ac:dyDescent="0.2">
      <c r="A121" s="23" t="s">
        <v>74</v>
      </c>
      <c r="B121" s="23"/>
      <c r="C121" s="23"/>
      <c r="D121" s="23"/>
      <c r="E121" s="23"/>
      <c r="F121" s="23"/>
      <c r="G121" s="23"/>
      <c r="H121" s="24">
        <f>H100</f>
        <v>78.280771161677052</v>
      </c>
      <c r="I121" s="24">
        <f>I37*($H$121*(1+0.05*(I2-2022)))</f>
        <v>24462740.988024082</v>
      </c>
      <c r="J121" s="24">
        <f t="shared" ref="J121:R121" si="83">J37*($H$121*(1+0.05*(J2-2022)))</f>
        <v>25441250.62754504</v>
      </c>
      <c r="K121" s="24">
        <f t="shared" si="83"/>
        <v>26419760.267066006</v>
      </c>
      <c r="L121" s="24">
        <f t="shared" si="83"/>
        <v>27398269.906586967</v>
      </c>
      <c r="M121" s="24">
        <f t="shared" si="83"/>
        <v>28376779.546107929</v>
      </c>
      <c r="N121" s="24">
        <f t="shared" si="83"/>
        <v>29355289.185628895</v>
      </c>
      <c r="O121" s="24">
        <f t="shared" si="83"/>
        <v>30333798.82514986</v>
      </c>
      <c r="P121" s="24">
        <f t="shared" si="83"/>
        <v>31312308.464670822</v>
      </c>
      <c r="Q121" s="24">
        <f t="shared" si="83"/>
        <v>32290818.104191784</v>
      </c>
      <c r="R121" s="24">
        <f t="shared" si="83"/>
        <v>33269327.743712749</v>
      </c>
      <c r="S121" s="23"/>
    </row>
    <row r="122" spans="1:19" x14ac:dyDescent="0.2">
      <c r="A122" s="23" t="s">
        <v>20</v>
      </c>
      <c r="B122" s="23"/>
      <c r="C122" s="23"/>
      <c r="D122" s="23"/>
      <c r="E122" s="23"/>
      <c r="F122" s="23"/>
      <c r="G122" s="23"/>
      <c r="H122" s="24">
        <f>H101</f>
        <v>117.41999999999999</v>
      </c>
      <c r="I122" s="24">
        <f t="shared" ref="I122:R122" si="84">I38*($H$122*(1+0.02*(I2-2022)))</f>
        <v>5986411.8659972344</v>
      </c>
      <c r="J122" s="24">
        <f t="shared" si="84"/>
        <v>3278900.2296186807</v>
      </c>
      <c r="K122" s="24">
        <f t="shared" si="84"/>
        <v>493856.85728504165</v>
      </c>
      <c r="L122" s="24">
        <f t="shared" si="84"/>
        <v>0</v>
      </c>
      <c r="M122" s="24">
        <f t="shared" si="84"/>
        <v>0</v>
      </c>
      <c r="N122" s="24">
        <f t="shared" si="84"/>
        <v>0</v>
      </c>
      <c r="O122" s="24">
        <f t="shared" si="84"/>
        <v>0</v>
      </c>
      <c r="P122" s="24">
        <f t="shared" si="84"/>
        <v>0</v>
      </c>
      <c r="Q122" s="24">
        <f t="shared" si="84"/>
        <v>0</v>
      </c>
      <c r="R122" s="24">
        <f t="shared" si="84"/>
        <v>0</v>
      </c>
      <c r="S122" s="23" t="s">
        <v>36</v>
      </c>
    </row>
    <row r="123" spans="1:19" x14ac:dyDescent="0.2">
      <c r="A123" s="22" t="s">
        <v>21</v>
      </c>
      <c r="B123" s="22"/>
      <c r="C123" s="22"/>
      <c r="D123" s="22"/>
      <c r="E123" s="22"/>
      <c r="F123" s="22"/>
      <c r="G123" s="22"/>
      <c r="H123" s="22"/>
      <c r="I123" s="26">
        <f>SUM(I120:I122)</f>
        <v>60892712.867007978</v>
      </c>
      <c r="J123" s="26">
        <f t="shared" ref="J123:R123" si="85">SUM(J120:J122)</f>
        <v>59987924.533929892</v>
      </c>
      <c r="K123" s="26">
        <f t="shared" si="85"/>
        <v>59007006.275134884</v>
      </c>
      <c r="L123" s="26">
        <f t="shared" si="85"/>
        <v>59358373.410202727</v>
      </c>
      <c r="M123" s="26">
        <f t="shared" si="85"/>
        <v>59974770.80402635</v>
      </c>
      <c r="N123" s="26">
        <f t="shared" si="85"/>
        <v>60563535.575554967</v>
      </c>
      <c r="O123" s="26">
        <f t="shared" si="85"/>
        <v>61125480.880007997</v>
      </c>
      <c r="P123" s="26">
        <f t="shared" si="85"/>
        <v>61661419.753739297</v>
      </c>
      <c r="Q123" s="26">
        <f t="shared" si="85"/>
        <v>62172163.675496727</v>
      </c>
      <c r="R123" s="26">
        <f t="shared" si="85"/>
        <v>62658521.235534146</v>
      </c>
      <c r="S123" s="34" t="s">
        <v>22</v>
      </c>
    </row>
    <row r="124" spans="1:19" x14ac:dyDescent="0.2">
      <c r="A124" s="22" t="s">
        <v>25</v>
      </c>
      <c r="J124" s="23"/>
      <c r="K124" s="23"/>
      <c r="L124" s="23"/>
      <c r="M124" s="23"/>
      <c r="N124" s="23"/>
      <c r="O124" s="23"/>
      <c r="P124" s="23"/>
      <c r="Q124" s="23"/>
      <c r="S124" s="26">
        <f>SUM(I123:R123)</f>
        <v>607401909.01063502</v>
      </c>
    </row>
    <row r="125" spans="1:19" x14ac:dyDescent="0.2">
      <c r="A125" s="23" t="s">
        <v>81</v>
      </c>
      <c r="B125" s="23"/>
      <c r="C125" s="23"/>
      <c r="D125" s="23"/>
      <c r="E125" s="23"/>
      <c r="F125" s="24">
        <f>F53</f>
        <v>220000000</v>
      </c>
      <c r="G125" s="24"/>
      <c r="H125" s="23"/>
      <c r="I125" s="27">
        <f>F125/20</f>
        <v>11000000</v>
      </c>
      <c r="J125" s="27">
        <f>I125</f>
        <v>11000000</v>
      </c>
      <c r="K125" s="27">
        <f t="shared" ref="K125:R125" si="86">J125</f>
        <v>11000000</v>
      </c>
      <c r="L125" s="27">
        <f t="shared" si="86"/>
        <v>11000000</v>
      </c>
      <c r="M125" s="27">
        <f t="shared" si="86"/>
        <v>11000000</v>
      </c>
      <c r="N125" s="27">
        <f t="shared" si="86"/>
        <v>11000000</v>
      </c>
      <c r="O125" s="27">
        <f t="shared" si="86"/>
        <v>11000000</v>
      </c>
      <c r="P125" s="27">
        <f t="shared" si="86"/>
        <v>11000000</v>
      </c>
      <c r="Q125" s="27">
        <f t="shared" si="86"/>
        <v>11000000</v>
      </c>
      <c r="R125" s="27">
        <f t="shared" si="86"/>
        <v>11000000</v>
      </c>
      <c r="S125" s="23"/>
    </row>
    <row r="126" spans="1:19" x14ac:dyDescent="0.2">
      <c r="A126" s="22" t="s">
        <v>24</v>
      </c>
      <c r="B126" s="23"/>
      <c r="C126" s="23"/>
      <c r="D126" s="23"/>
      <c r="E126" s="23"/>
      <c r="F126" s="23"/>
      <c r="G126" s="23"/>
      <c r="H126" s="23"/>
      <c r="I126" s="28">
        <f>SUM(I125+I123)</f>
        <v>71892712.867007971</v>
      </c>
      <c r="J126" s="28">
        <f t="shared" ref="J126:R126" si="87">SUM(J125+J123)</f>
        <v>70987924.533929884</v>
      </c>
      <c r="K126" s="28">
        <f t="shared" si="87"/>
        <v>70007006.275134891</v>
      </c>
      <c r="L126" s="28">
        <f t="shared" si="87"/>
        <v>70358373.410202727</v>
      </c>
      <c r="M126" s="28">
        <f t="shared" si="87"/>
        <v>70974770.80402635</v>
      </c>
      <c r="N126" s="28">
        <f t="shared" si="87"/>
        <v>71563535.575554967</v>
      </c>
      <c r="O126" s="28">
        <f t="shared" si="87"/>
        <v>72125480.880007997</v>
      </c>
      <c r="P126" s="28">
        <f t="shared" si="87"/>
        <v>72661419.753739297</v>
      </c>
      <c r="Q126" s="28">
        <f t="shared" si="87"/>
        <v>73172163.675496727</v>
      </c>
      <c r="R126" s="28">
        <f t="shared" si="87"/>
        <v>73658521.235534146</v>
      </c>
    </row>
    <row r="127" spans="1:19" x14ac:dyDescent="0.2">
      <c r="A127" s="15" t="s">
        <v>26</v>
      </c>
      <c r="S127" s="26">
        <f>SUM(I126:R126)</f>
        <v>717401909.01063502</v>
      </c>
    </row>
    <row r="128" spans="1:19" ht="17" customHeight="1" x14ac:dyDescent="0.2"/>
    <row r="129" spans="1:12" ht="17" customHeight="1" x14ac:dyDescent="0.2">
      <c r="A129" s="32"/>
    </row>
    <row r="134" spans="1:12" s="42" customFormat="1" x14ac:dyDescent="0.2">
      <c r="A134" s="42" t="s">
        <v>38</v>
      </c>
      <c r="D134" s="42" t="s">
        <v>48</v>
      </c>
      <c r="H134" s="43">
        <v>-0.03</v>
      </c>
      <c r="I134" s="42" t="s">
        <v>134</v>
      </c>
    </row>
    <row r="135" spans="1:12" ht="34" x14ac:dyDescent="0.2">
      <c r="A135" s="15" t="s">
        <v>39</v>
      </c>
      <c r="F135" s="44" t="s">
        <v>100</v>
      </c>
      <c r="G135" s="44" t="s">
        <v>135</v>
      </c>
      <c r="H135" s="45" t="s">
        <v>84</v>
      </c>
      <c r="I135" s="15" t="s">
        <v>44</v>
      </c>
      <c r="J135" s="15" t="s">
        <v>45</v>
      </c>
    </row>
    <row r="136" spans="1:12" x14ac:dyDescent="0.2">
      <c r="A136" t="s">
        <v>12</v>
      </c>
      <c r="F136" s="25">
        <f>S55</f>
        <v>922224978.03389573</v>
      </c>
      <c r="G136" s="25">
        <f>F136</f>
        <v>922224978.03389573</v>
      </c>
      <c r="J136" s="13">
        <f>S13-S32</f>
        <v>369410.0763412714</v>
      </c>
      <c r="L136" s="29"/>
    </row>
    <row r="137" spans="1:12" x14ac:dyDescent="0.2">
      <c r="A137" t="s">
        <v>82</v>
      </c>
      <c r="F137" s="25">
        <f>S75</f>
        <v>1160969283.5145862</v>
      </c>
      <c r="G137" s="25">
        <f>F137</f>
        <v>1160969283.5145862</v>
      </c>
      <c r="I137" s="61">
        <f>F136-F137</f>
        <v>-238744305.48069048</v>
      </c>
      <c r="K137" t="s">
        <v>125</v>
      </c>
    </row>
    <row r="138" spans="1:12" x14ac:dyDescent="0.2">
      <c r="A138" t="s">
        <v>83</v>
      </c>
      <c r="F138" s="25">
        <f>S96</f>
        <v>820888798.66058695</v>
      </c>
      <c r="G138" s="63">
        <f>F138+H138</f>
        <v>920888798.66058695</v>
      </c>
      <c r="H138" s="47">
        <v>100000000</v>
      </c>
      <c r="I138" s="62">
        <f>F136-F138-H138</f>
        <v>1336179.3733087778</v>
      </c>
    </row>
    <row r="139" spans="1:12" x14ac:dyDescent="0.2">
      <c r="A139" t="s">
        <v>103</v>
      </c>
      <c r="F139" s="25">
        <f>S117</f>
        <v>893389335.87285781</v>
      </c>
      <c r="G139" s="25">
        <f>F139+H139</f>
        <v>993389335.87285781</v>
      </c>
      <c r="H139" s="40">
        <f>H138</f>
        <v>100000000</v>
      </c>
      <c r="I139" s="61">
        <f>F136-F139-H139</f>
        <v>-71164357.838962078</v>
      </c>
      <c r="K139" t="s">
        <v>126</v>
      </c>
    </row>
    <row r="141" spans="1:12" x14ac:dyDescent="0.2">
      <c r="A141" s="15" t="s">
        <v>40</v>
      </c>
      <c r="J141" s="13">
        <f>J136</f>
        <v>369410.0763412714</v>
      </c>
      <c r="L141" s="29"/>
    </row>
    <row r="142" spans="1:12" x14ac:dyDescent="0.2">
      <c r="A142" t="s">
        <v>12</v>
      </c>
      <c r="F142" s="25">
        <f>S64</f>
        <v>734077636.68256271</v>
      </c>
      <c r="G142" s="25">
        <f>F142</f>
        <v>734077636.68256271</v>
      </c>
    </row>
    <row r="143" spans="1:12" x14ac:dyDescent="0.2">
      <c r="A143" t="s">
        <v>82</v>
      </c>
      <c r="F143" s="25">
        <f>S85</f>
        <v>853612970.50686359</v>
      </c>
      <c r="G143" s="25">
        <f>F143</f>
        <v>853612970.50686359</v>
      </c>
      <c r="I143" s="61">
        <f>F142-F143</f>
        <v>-119535333.82430089</v>
      </c>
      <c r="K143" t="s">
        <v>125</v>
      </c>
    </row>
    <row r="144" spans="1:12" ht="17" customHeight="1" x14ac:dyDescent="0.2">
      <c r="A144" t="s">
        <v>83</v>
      </c>
      <c r="F144" s="25">
        <f>S106</f>
        <v>612383322.08896005</v>
      </c>
      <c r="G144" s="63">
        <f>F144+H144</f>
        <v>712383322.08896005</v>
      </c>
      <c r="H144" s="40">
        <f>H138</f>
        <v>100000000</v>
      </c>
      <c r="I144" s="62">
        <f>F142-F144-H144</f>
        <v>21694314.593602657</v>
      </c>
    </row>
    <row r="145" spans="1:19" ht="17" customHeight="1" x14ac:dyDescent="0.2">
      <c r="A145" t="s">
        <v>103</v>
      </c>
      <c r="F145" s="25">
        <f>S127</f>
        <v>717401909.01063502</v>
      </c>
      <c r="G145" s="25">
        <f>F145+H145</f>
        <v>817401909.01063502</v>
      </c>
      <c r="H145" s="40">
        <f>H138</f>
        <v>100000000</v>
      </c>
      <c r="I145" s="61">
        <f>F142-F145-H145</f>
        <v>-83324272.328072309</v>
      </c>
    </row>
    <row r="147" spans="1:19" x14ac:dyDescent="0.2">
      <c r="A147" s="1"/>
    </row>
    <row r="148" spans="1:19" x14ac:dyDescent="0.2">
      <c r="A148" s="23"/>
      <c r="B148" s="23"/>
      <c r="C148" s="23"/>
      <c r="D148" s="23"/>
      <c r="E148" s="23"/>
      <c r="F148" s="23"/>
      <c r="G148" s="23"/>
      <c r="H148" s="23"/>
      <c r="I148" s="24"/>
      <c r="J148" s="23"/>
      <c r="K148" s="23"/>
      <c r="L148" s="23"/>
      <c r="M148" s="23"/>
      <c r="N148" s="23"/>
      <c r="O148" s="23"/>
      <c r="P148" s="23"/>
      <c r="Q148" s="23"/>
      <c r="R148" s="23"/>
      <c r="S148" s="23"/>
    </row>
    <row r="168" spans="1:1" x14ac:dyDescent="0.2">
      <c r="A168" s="1"/>
    </row>
  </sheetData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CE1615-DC6A-0441-89B9-B5964A6DCA0D}">
  <dimension ref="A1:U168"/>
  <sheetViews>
    <sheetView workbookViewId="0">
      <pane xSplit="1" ySplit="1" topLeftCell="E128" activePane="bottomRight" state="frozen"/>
      <selection pane="topRight" activeCell="B1" sqref="B1"/>
      <selection pane="bottomLeft" activeCell="A2" sqref="A2"/>
      <selection pane="bottomRight" activeCell="G135" sqref="G135:G145"/>
    </sheetView>
  </sheetViews>
  <sheetFormatPr baseColWidth="10" defaultRowHeight="16" x14ac:dyDescent="0.2"/>
  <cols>
    <col min="1" max="1" width="40.33203125" customWidth="1"/>
    <col min="2" max="2" width="13" customWidth="1"/>
    <col min="6" max="6" width="16" bestFit="1" customWidth="1"/>
    <col min="7" max="7" width="16" customWidth="1"/>
    <col min="8" max="8" width="15.83203125" customWidth="1"/>
    <col min="9" max="18" width="14.6640625" customWidth="1"/>
    <col min="19" max="19" width="18" customWidth="1"/>
  </cols>
  <sheetData>
    <row r="1" spans="1:21" ht="34" x14ac:dyDescent="0.2">
      <c r="A1" s="1" t="s">
        <v>0</v>
      </c>
      <c r="B1" s="2" t="s">
        <v>1</v>
      </c>
      <c r="C1" s="2"/>
      <c r="D1" s="2"/>
      <c r="E1" s="2"/>
      <c r="F1" s="36" t="s">
        <v>112</v>
      </c>
      <c r="G1" s="53" t="s">
        <v>114</v>
      </c>
      <c r="H1" s="2" t="s">
        <v>2</v>
      </c>
      <c r="I1" s="3" t="s">
        <v>3</v>
      </c>
      <c r="J1" s="3"/>
      <c r="K1" s="3"/>
      <c r="L1" s="3"/>
      <c r="M1" s="3"/>
      <c r="N1" s="3"/>
      <c r="O1" s="3"/>
      <c r="P1" s="3"/>
      <c r="Q1" s="3"/>
      <c r="R1" s="3"/>
    </row>
    <row r="2" spans="1:21" s="15" customFormat="1" x14ac:dyDescent="0.2">
      <c r="A2" s="15" t="s">
        <v>4</v>
      </c>
      <c r="B2" s="15">
        <v>2010</v>
      </c>
      <c r="C2" s="15">
        <v>2020</v>
      </c>
      <c r="D2" s="15">
        <v>2022</v>
      </c>
      <c r="E2" s="15">
        <v>2024</v>
      </c>
      <c r="I2" s="15">
        <v>2027</v>
      </c>
      <c r="J2" s="15">
        <f>I2+1</f>
        <v>2028</v>
      </c>
      <c r="K2" s="15">
        <f t="shared" ref="K2:Q2" si="0">J2+1</f>
        <v>2029</v>
      </c>
      <c r="L2" s="15">
        <f t="shared" si="0"/>
        <v>2030</v>
      </c>
      <c r="M2" s="15">
        <f t="shared" si="0"/>
        <v>2031</v>
      </c>
      <c r="N2" s="15">
        <f t="shared" si="0"/>
        <v>2032</v>
      </c>
      <c r="O2" s="15">
        <f t="shared" si="0"/>
        <v>2033</v>
      </c>
      <c r="P2" s="15">
        <f t="shared" si="0"/>
        <v>2034</v>
      </c>
      <c r="Q2" s="15">
        <f t="shared" si="0"/>
        <v>2035</v>
      </c>
      <c r="R2" s="15">
        <f>Q2+1</f>
        <v>2036</v>
      </c>
      <c r="S2" s="15" t="s">
        <v>110</v>
      </c>
    </row>
    <row r="3" spans="1:21" x14ac:dyDescent="0.2">
      <c r="A3" t="s">
        <v>5</v>
      </c>
      <c r="B3" s="4">
        <v>2351496</v>
      </c>
      <c r="C3" s="4">
        <v>2766953</v>
      </c>
      <c r="D3" s="4">
        <v>2854375</v>
      </c>
      <c r="E3" s="4">
        <v>3124079</v>
      </c>
      <c r="F3" s="9"/>
      <c r="G3" s="9"/>
      <c r="H3" s="5"/>
      <c r="I3" s="4">
        <f>3124079+3*42500</f>
        <v>3251579</v>
      </c>
      <c r="J3" s="4">
        <f>I3+42500</f>
        <v>3294079</v>
      </c>
      <c r="K3" s="4">
        <f t="shared" ref="K3:R3" si="1">J3+42500</f>
        <v>3336579</v>
      </c>
      <c r="L3" s="4">
        <f t="shared" si="1"/>
        <v>3379079</v>
      </c>
      <c r="M3" s="4">
        <f t="shared" si="1"/>
        <v>3421579</v>
      </c>
      <c r="N3" s="4">
        <f t="shared" si="1"/>
        <v>3464079</v>
      </c>
      <c r="O3" s="4">
        <f t="shared" si="1"/>
        <v>3506579</v>
      </c>
      <c r="P3" s="4">
        <f t="shared" si="1"/>
        <v>3549079</v>
      </c>
      <c r="Q3" s="4">
        <f t="shared" si="1"/>
        <v>3591579</v>
      </c>
      <c r="R3" s="4">
        <f t="shared" si="1"/>
        <v>3634079</v>
      </c>
      <c r="S3" t="s">
        <v>6</v>
      </c>
    </row>
    <row r="4" spans="1:21" ht="19" customHeight="1" x14ac:dyDescent="0.2">
      <c r="A4" t="s">
        <v>7</v>
      </c>
      <c r="B4" s="6">
        <f>B13/B3</f>
        <v>0.60131933033269036</v>
      </c>
      <c r="C4" s="6">
        <f>C13/C3</f>
        <v>0.45757553525484529</v>
      </c>
      <c r="D4" s="6">
        <f>D13/D3</f>
        <v>0.44091964090212393</v>
      </c>
      <c r="E4" s="6">
        <f>E13/E3</f>
        <v>0.40831361818955281</v>
      </c>
      <c r="F4" s="52">
        <f>E4/B4-1</f>
        <v>-0.32097041024168271</v>
      </c>
      <c r="G4" s="52"/>
      <c r="H4" s="8">
        <f>F4/14</f>
        <v>-2.292645787440591E-2</v>
      </c>
      <c r="I4" s="9">
        <f>E4*(1+3*H4)</f>
        <v>0.38023006328864567</v>
      </c>
      <c r="J4" s="9">
        <f>I4*(1+$H$4)</f>
        <v>0.37151273476007585</v>
      </c>
      <c r="K4" s="9">
        <f t="shared" ref="K4:R4" si="2">J4*(1+$H$4)</f>
        <v>0.36299526369679364</v>
      </c>
      <c r="L4" s="9">
        <f t="shared" si="2"/>
        <v>0.35467306807504023</v>
      </c>
      <c r="M4" s="9">
        <f t="shared" si="2"/>
        <v>0.34654167092063148</v>
      </c>
      <c r="N4" s="9">
        <f t="shared" si="2"/>
        <v>0.33859669790054336</v>
      </c>
      <c r="O4" s="9">
        <f t="shared" si="2"/>
        <v>0.33083387496971361</v>
      </c>
      <c r="P4" s="9">
        <f t="shared" si="2"/>
        <v>0.32324902607179401</v>
      </c>
      <c r="Q4" s="9">
        <f t="shared" si="2"/>
        <v>0.31583807089261628</v>
      </c>
      <c r="R4" s="9">
        <f t="shared" si="2"/>
        <v>0.30859702266516309</v>
      </c>
      <c r="T4" s="9"/>
    </row>
    <row r="5" spans="1:21" s="21" customFormat="1" ht="17" customHeight="1" x14ac:dyDescent="0.2">
      <c r="A5" s="16" t="s">
        <v>12</v>
      </c>
      <c r="B5" s="17"/>
      <c r="C5" s="17"/>
      <c r="D5" s="17"/>
      <c r="E5" s="17"/>
      <c r="F5" s="18"/>
      <c r="H5" s="19"/>
      <c r="I5" s="20"/>
      <c r="J5" s="20"/>
      <c r="K5" s="20"/>
      <c r="L5" s="20"/>
      <c r="M5" s="20"/>
      <c r="N5" s="20"/>
      <c r="O5" s="20"/>
      <c r="P5" s="20"/>
      <c r="Q5" s="20"/>
      <c r="R5" s="20"/>
    </row>
    <row r="6" spans="1:21" x14ac:dyDescent="0.2">
      <c r="A6" s="10" t="s">
        <v>8</v>
      </c>
      <c r="B6" s="4">
        <v>567817</v>
      </c>
      <c r="C6" s="4">
        <f>615596+44138</f>
        <v>659734</v>
      </c>
      <c r="D6" s="4">
        <v>691083</v>
      </c>
      <c r="E6" s="4">
        <v>509495</v>
      </c>
      <c r="F6" s="7">
        <f>D6/B6-1</f>
        <v>0.21708754757254534</v>
      </c>
      <c r="G6" s="7">
        <f>E6/(E6+E9)</f>
        <v>0.7372414022628252</v>
      </c>
      <c r="H6" s="8">
        <f>F6/12</f>
        <v>1.8090628964378779E-2</v>
      </c>
      <c r="I6" s="11">
        <f>750000-I9</f>
        <v>580901.50889749289</v>
      </c>
      <c r="J6" s="11">
        <f t="shared" ref="J6:L6" si="3">750000-J9</f>
        <v>584778.33833038015</v>
      </c>
      <c r="K6" s="11">
        <f t="shared" si="3"/>
        <v>588566.28579658805</v>
      </c>
      <c r="L6" s="11">
        <f t="shared" si="3"/>
        <v>592267.38904478145</v>
      </c>
      <c r="M6" s="11">
        <f>M13-M10-M9-M7</f>
        <v>591603.34295220964</v>
      </c>
      <c r="N6" s="11">
        <f t="shared" ref="N6:R6" si="4">N13-N10-N9-N7</f>
        <v>582342.69202769268</v>
      </c>
      <c r="O6" s="11">
        <f t="shared" si="4"/>
        <v>572964.43505192571</v>
      </c>
      <c r="P6" s="11">
        <f t="shared" si="4"/>
        <v>563478.83221148769</v>
      </c>
      <c r="Q6" s="11">
        <f t="shared" si="4"/>
        <v>553895.73504986905</v>
      </c>
      <c r="R6" s="11">
        <f t="shared" si="4"/>
        <v>544224.59981196595</v>
      </c>
    </row>
    <row r="7" spans="1:21" x14ac:dyDescent="0.2">
      <c r="A7" s="10" t="s">
        <v>89</v>
      </c>
      <c r="B7" s="4">
        <v>284468</v>
      </c>
      <c r="C7" s="4">
        <v>244362</v>
      </c>
      <c r="D7" s="4">
        <v>233051</v>
      </c>
      <c r="E7" s="4">
        <v>243169</v>
      </c>
      <c r="F7" s="7">
        <f>E7/B7-1</f>
        <v>-0.14517977417495109</v>
      </c>
      <c r="G7" s="7"/>
      <c r="H7" s="8">
        <f t="shared" ref="H7:H13" si="5">F7/12</f>
        <v>-1.2098314514579258E-2</v>
      </c>
      <c r="I7" s="54">
        <v>250000</v>
      </c>
      <c r="J7" s="54">
        <f>$I$7</f>
        <v>250000</v>
      </c>
      <c r="K7" s="54">
        <f t="shared" ref="K7:R7" si="6">$I$7</f>
        <v>250000</v>
      </c>
      <c r="L7" s="54">
        <f t="shared" si="6"/>
        <v>250000</v>
      </c>
      <c r="M7" s="54">
        <f t="shared" si="6"/>
        <v>250000</v>
      </c>
      <c r="N7" s="54">
        <f t="shared" si="6"/>
        <v>250000</v>
      </c>
      <c r="O7" s="54">
        <f t="shared" si="6"/>
        <v>250000</v>
      </c>
      <c r="P7" s="54">
        <f t="shared" si="6"/>
        <v>250000</v>
      </c>
      <c r="Q7" s="54">
        <f t="shared" si="6"/>
        <v>250000</v>
      </c>
      <c r="R7" s="54">
        <f t="shared" si="6"/>
        <v>250000</v>
      </c>
      <c r="S7" t="s">
        <v>31</v>
      </c>
      <c r="T7" t="s">
        <v>117</v>
      </c>
    </row>
    <row r="8" spans="1:21" x14ac:dyDescent="0.2">
      <c r="A8" s="10" t="s">
        <v>9</v>
      </c>
      <c r="B8" s="4">
        <f>396384</f>
        <v>396384</v>
      </c>
      <c r="C8" s="4">
        <f>35340</f>
        <v>35340</v>
      </c>
      <c r="D8" s="4">
        <f>144603</f>
        <v>144603</v>
      </c>
      <c r="E8" s="4">
        <v>151539</v>
      </c>
      <c r="F8" s="7">
        <f t="shared" ref="F8" si="7">D8/B8-1</f>
        <v>-0.6351946597239041</v>
      </c>
      <c r="G8" s="7"/>
      <c r="H8" s="8">
        <f t="shared" si="5"/>
        <v>-5.2932888310325339E-2</v>
      </c>
      <c r="I8" s="13">
        <f>I13-I10-I7-750000</f>
        <v>46348.088958031265</v>
      </c>
      <c r="J8" s="13">
        <f>J13-J10-J7-750000</f>
        <v>33792.297805735841</v>
      </c>
      <c r="K8" s="13">
        <f t="shared" ref="K8" si="8">K13-K10-K7-750000</f>
        <v>21162.37395018409</v>
      </c>
      <c r="L8" s="13">
        <f>L13-L10-L7-750000</f>
        <v>8468.3161979389843</v>
      </c>
      <c r="M8" s="13"/>
      <c r="N8" s="13"/>
      <c r="O8" s="13"/>
      <c r="P8" s="13"/>
      <c r="Q8" s="13"/>
      <c r="R8" s="13"/>
    </row>
    <row r="9" spans="1:21" x14ac:dyDescent="0.2">
      <c r="A9" s="14" t="s">
        <v>111</v>
      </c>
      <c r="B9" s="49" t="s">
        <v>113</v>
      </c>
      <c r="C9" s="49" t="s">
        <v>113</v>
      </c>
      <c r="D9" s="49" t="s">
        <v>113</v>
      </c>
      <c r="E9" s="49">
        <f>D6-E6</f>
        <v>181588</v>
      </c>
      <c r="F9" s="7">
        <f>F6</f>
        <v>0.21708754757254534</v>
      </c>
      <c r="G9" s="7">
        <f>E9/(E9+E6)</f>
        <v>0.26275859773717486</v>
      </c>
      <c r="H9" s="51"/>
      <c r="I9" s="57">
        <f>E9*(1+3*H4)</f>
        <v>169098.49110250713</v>
      </c>
      <c r="J9" s="57">
        <f>I9*(1+$H$4)</f>
        <v>165221.66166961991</v>
      </c>
      <c r="K9" s="57">
        <f t="shared" ref="K9:R9" si="9">J9*(1+$H$4)</f>
        <v>161433.714203412</v>
      </c>
      <c r="L9" s="57">
        <f t="shared" si="9"/>
        <v>157732.61095521858</v>
      </c>
      <c r="M9" s="57">
        <f t="shared" si="9"/>
        <v>154116.36089473369</v>
      </c>
      <c r="N9" s="57">
        <f t="shared" si="9"/>
        <v>150583.01863892382</v>
      </c>
      <c r="O9" s="57">
        <f t="shared" si="9"/>
        <v>147130.68340549764</v>
      </c>
      <c r="P9" s="57">
        <f t="shared" si="9"/>
        <v>143757.49799036892</v>
      </c>
      <c r="Q9" s="57">
        <f t="shared" si="9"/>
        <v>140461.64776856275</v>
      </c>
      <c r="R9" s="57">
        <f t="shared" si="9"/>
        <v>137241.35971802715</v>
      </c>
      <c r="T9" s="55" t="s">
        <v>118</v>
      </c>
      <c r="U9" t="s">
        <v>119</v>
      </c>
    </row>
    <row r="10" spans="1:21" ht="17" customHeight="1" x14ac:dyDescent="0.2">
      <c r="A10" s="14" t="s">
        <v>10</v>
      </c>
      <c r="B10" s="4">
        <v>165331</v>
      </c>
      <c r="C10" s="4">
        <v>326654</v>
      </c>
      <c r="D10" s="4">
        <v>189813</v>
      </c>
      <c r="E10" s="4">
        <f>D10</f>
        <v>189813</v>
      </c>
      <c r="F10" s="7">
        <f>D10/B10-1</f>
        <v>0.14807870272362722</v>
      </c>
      <c r="G10" s="7"/>
      <c r="H10" s="8">
        <f>F10/12</f>
        <v>1.2339891893635602E-2</v>
      </c>
      <c r="I10" s="54">
        <v>190000</v>
      </c>
      <c r="J10" s="54">
        <f>I10</f>
        <v>190000</v>
      </c>
      <c r="K10" s="54">
        <f t="shared" ref="K10:R10" si="10">J10</f>
        <v>190000</v>
      </c>
      <c r="L10" s="54">
        <f t="shared" si="10"/>
        <v>190000</v>
      </c>
      <c r="M10" s="54">
        <f t="shared" si="10"/>
        <v>190000</v>
      </c>
      <c r="N10" s="54">
        <f t="shared" si="10"/>
        <v>190000</v>
      </c>
      <c r="O10" s="54">
        <f t="shared" si="10"/>
        <v>190000</v>
      </c>
      <c r="P10" s="54">
        <f t="shared" si="10"/>
        <v>190000</v>
      </c>
      <c r="Q10" s="54">
        <f t="shared" si="10"/>
        <v>190000</v>
      </c>
      <c r="R10" s="54">
        <f t="shared" si="10"/>
        <v>190000</v>
      </c>
      <c r="T10" t="s">
        <v>117</v>
      </c>
    </row>
    <row r="11" spans="1:21" ht="17" customHeight="1" x14ac:dyDescent="0.2">
      <c r="A11" t="s">
        <v>115</v>
      </c>
      <c r="B11" s="49"/>
      <c r="C11" s="49"/>
      <c r="D11" s="49"/>
      <c r="E11" s="49"/>
      <c r="F11" s="50"/>
      <c r="G11" s="50"/>
      <c r="H11" s="51"/>
      <c r="I11" s="11">
        <f>SUM(I6:I10)</f>
        <v>1236348.0889580313</v>
      </c>
      <c r="J11" s="11">
        <f t="shared" ref="J11:R11" si="11">SUM(J6:J10)</f>
        <v>1223792.2978057358</v>
      </c>
      <c r="K11" s="11">
        <f t="shared" si="11"/>
        <v>1211162.3739501841</v>
      </c>
      <c r="L11" s="11">
        <f t="shared" si="11"/>
        <v>1198468.316197939</v>
      </c>
      <c r="M11" s="11">
        <f>SUM(M6:M10)</f>
        <v>1185719.7038469433</v>
      </c>
      <c r="N11" s="11">
        <f t="shared" si="11"/>
        <v>1172925.7106666164</v>
      </c>
      <c r="O11" s="11">
        <f t="shared" si="11"/>
        <v>1160095.1184574233</v>
      </c>
      <c r="P11" s="11">
        <f t="shared" si="11"/>
        <v>1147236.3302018566</v>
      </c>
      <c r="Q11" s="11">
        <f t="shared" si="11"/>
        <v>1134357.3828184318</v>
      </c>
      <c r="R11" s="11">
        <f t="shared" si="11"/>
        <v>1121465.9595299931</v>
      </c>
    </row>
    <row r="12" spans="1:21" ht="17" customHeight="1" x14ac:dyDescent="0.2">
      <c r="A12" t="s">
        <v>116</v>
      </c>
      <c r="B12" s="49"/>
      <c r="C12" s="49"/>
      <c r="D12" s="49"/>
      <c r="E12" s="49">
        <f>E9+E6</f>
        <v>691083</v>
      </c>
      <c r="F12" s="50"/>
      <c r="G12" s="50"/>
      <c r="H12" s="51"/>
      <c r="I12" s="54">
        <f>I9+I6</f>
        <v>750000</v>
      </c>
      <c r="J12" s="54">
        <f>I12</f>
        <v>750000</v>
      </c>
      <c r="K12" s="54">
        <f>J12</f>
        <v>750000</v>
      </c>
      <c r="L12" s="54">
        <f t="shared" ref="L12:R12" si="12">L9+L6</f>
        <v>750000</v>
      </c>
      <c r="M12" s="54">
        <f t="shared" si="12"/>
        <v>745719.70384694333</v>
      </c>
      <c r="N12" s="54">
        <f t="shared" si="12"/>
        <v>732925.71066661645</v>
      </c>
      <c r="O12" s="54">
        <f t="shared" si="12"/>
        <v>720095.11845742329</v>
      </c>
      <c r="P12" s="54">
        <f t="shared" si="12"/>
        <v>707236.33020185656</v>
      </c>
      <c r="Q12" s="54">
        <f t="shared" si="12"/>
        <v>694357.38281843183</v>
      </c>
      <c r="R12" s="54">
        <f t="shared" si="12"/>
        <v>681465.95952999312</v>
      </c>
      <c r="S12" t="s">
        <v>31</v>
      </c>
      <c r="T12" t="s">
        <v>117</v>
      </c>
    </row>
    <row r="13" spans="1:21" x14ac:dyDescent="0.2">
      <c r="A13" t="s">
        <v>11</v>
      </c>
      <c r="B13" s="4">
        <f>SUM(B6:B10)</f>
        <v>1414000</v>
      </c>
      <c r="C13" s="4">
        <f>SUM(C6:C10)</f>
        <v>1266090</v>
      </c>
      <c r="D13" s="4">
        <f>SUM(D6:D10)</f>
        <v>1258550</v>
      </c>
      <c r="E13" s="4">
        <f>SUM(E6:E10)</f>
        <v>1275604</v>
      </c>
      <c r="F13" s="7">
        <f>E13/B13-1</f>
        <v>-9.7875530410183931E-2</v>
      </c>
      <c r="G13" s="7"/>
      <c r="H13" s="8">
        <f t="shared" si="5"/>
        <v>-8.1562942008486603E-3</v>
      </c>
      <c r="I13" s="4">
        <f t="shared" ref="I13:R13" si="13">I3*I4</f>
        <v>1236348.0889580313</v>
      </c>
      <c r="J13" s="4">
        <f t="shared" si="13"/>
        <v>1223792.2978057358</v>
      </c>
      <c r="K13" s="4">
        <f t="shared" si="13"/>
        <v>1211162.3739501841</v>
      </c>
      <c r="L13" s="4">
        <f t="shared" si="13"/>
        <v>1198468.316197939</v>
      </c>
      <c r="M13" s="4">
        <f t="shared" si="13"/>
        <v>1185719.7038469433</v>
      </c>
      <c r="N13" s="4">
        <f t="shared" si="13"/>
        <v>1172925.7106666164</v>
      </c>
      <c r="O13" s="4">
        <f t="shared" si="13"/>
        <v>1160095.1184574233</v>
      </c>
      <c r="P13" s="4">
        <f t="shared" si="13"/>
        <v>1147236.3302018566</v>
      </c>
      <c r="Q13" s="4">
        <f t="shared" si="13"/>
        <v>1134357.3828184318</v>
      </c>
      <c r="R13" s="4">
        <f t="shared" si="13"/>
        <v>1121465.9595299931</v>
      </c>
      <c r="S13" s="13">
        <f>SUM(I13:R13)</f>
        <v>11791571.282433156</v>
      </c>
      <c r="T13" t="s">
        <v>120</v>
      </c>
    </row>
    <row r="14" spans="1:21" s="21" customFormat="1" ht="17" customHeight="1" x14ac:dyDescent="0.2">
      <c r="A14" s="16" t="s">
        <v>13</v>
      </c>
      <c r="B14" s="17"/>
      <c r="C14" s="17"/>
      <c r="D14" s="17"/>
      <c r="E14" s="17"/>
      <c r="F14" s="18"/>
      <c r="G14" s="18"/>
      <c r="H14" s="19"/>
      <c r="I14" s="20"/>
      <c r="J14" s="20"/>
      <c r="K14" s="20"/>
      <c r="L14" s="20"/>
      <c r="M14" s="20"/>
      <c r="N14" s="20"/>
      <c r="O14" s="20"/>
      <c r="P14" s="20"/>
      <c r="Q14" s="20"/>
      <c r="R14" s="20"/>
    </row>
    <row r="15" spans="1:21" x14ac:dyDescent="0.2">
      <c r="A15" s="10" t="s">
        <v>8</v>
      </c>
      <c r="B15" s="4"/>
      <c r="C15" s="4"/>
      <c r="D15" s="4"/>
      <c r="E15" s="4"/>
      <c r="F15" s="7"/>
      <c r="G15" s="7"/>
      <c r="H15" s="8"/>
      <c r="I15" s="11">
        <f>I6</f>
        <v>580901.50889749289</v>
      </c>
      <c r="J15" s="11">
        <f t="shared" ref="J15:R15" si="14">750000-J18</f>
        <v>584778.33833038015</v>
      </c>
      <c r="K15" s="11">
        <f t="shared" si="14"/>
        <v>588566.28579658805</v>
      </c>
      <c r="L15" s="11">
        <f t="shared" si="14"/>
        <v>592267.38904478145</v>
      </c>
      <c r="M15" s="11">
        <f t="shared" si="14"/>
        <v>595883.63910526631</v>
      </c>
      <c r="N15" s="11">
        <f t="shared" si="14"/>
        <v>599416.98136107624</v>
      </c>
      <c r="O15" s="11">
        <f t="shared" si="14"/>
        <v>602869.31659450242</v>
      </c>
      <c r="P15" s="11">
        <f t="shared" si="14"/>
        <v>606242.50200963113</v>
      </c>
      <c r="Q15" s="11">
        <f t="shared" si="14"/>
        <v>609538.35223143722</v>
      </c>
      <c r="R15" s="11">
        <f t="shared" si="14"/>
        <v>612758.64028197282</v>
      </c>
    </row>
    <row r="16" spans="1:21" x14ac:dyDescent="0.2">
      <c r="A16" s="10" t="s">
        <v>89</v>
      </c>
      <c r="B16" s="4"/>
      <c r="C16" s="4"/>
      <c r="D16" s="4"/>
      <c r="E16" s="4"/>
      <c r="F16" s="7"/>
      <c r="G16" s="7"/>
      <c r="H16" s="8"/>
      <c r="I16" s="54">
        <v>250000</v>
      </c>
      <c r="J16" s="12"/>
      <c r="K16" s="12"/>
      <c r="L16" s="12"/>
      <c r="M16" s="12"/>
      <c r="N16" s="12"/>
      <c r="O16" s="12"/>
      <c r="P16" s="12"/>
      <c r="Q16" s="12"/>
      <c r="R16" s="12"/>
    </row>
    <row r="17" spans="1:20" x14ac:dyDescent="0.2">
      <c r="A17" s="10" t="s">
        <v>9</v>
      </c>
      <c r="B17" s="4"/>
      <c r="C17" s="4"/>
      <c r="D17" s="4"/>
      <c r="E17" s="4"/>
      <c r="F17" s="7"/>
      <c r="G17" s="7"/>
      <c r="H17" s="8"/>
      <c r="I17" s="58">
        <f>I8</f>
        <v>46348.088958031265</v>
      </c>
      <c r="J17" s="58">
        <f>J22-J15-J19</f>
        <v>449013.95947535569</v>
      </c>
      <c r="K17" s="58">
        <f t="shared" ref="K17:R17" si="15">K22-K15-K19</f>
        <v>432596.08815359604</v>
      </c>
      <c r="L17" s="58">
        <f t="shared" si="15"/>
        <v>416200.92715315754</v>
      </c>
      <c r="M17" s="58">
        <f t="shared" si="15"/>
        <v>399836.06474167702</v>
      </c>
      <c r="N17" s="58">
        <f t="shared" si="15"/>
        <v>383508.72930554021</v>
      </c>
      <c r="O17" s="58">
        <f t="shared" si="15"/>
        <v>367225.80186292087</v>
      </c>
      <c r="P17" s="58">
        <f t="shared" si="15"/>
        <v>350993.82819222542</v>
      </c>
      <c r="Q17" s="58">
        <f t="shared" si="15"/>
        <v>334819.0305869946</v>
      </c>
      <c r="R17" s="58">
        <f t="shared" si="15"/>
        <v>318707.3192480203</v>
      </c>
    </row>
    <row r="18" spans="1:20" x14ac:dyDescent="0.2">
      <c r="A18" s="14" t="s">
        <v>111</v>
      </c>
      <c r="B18" s="49"/>
      <c r="C18" s="49"/>
      <c r="D18" s="49"/>
      <c r="E18" s="4"/>
      <c r="F18" s="50"/>
      <c r="G18" s="50"/>
      <c r="H18" s="51"/>
      <c r="I18" s="13">
        <f>I9</f>
        <v>169098.49110250713</v>
      </c>
      <c r="J18" s="13">
        <f t="shared" ref="J18:R18" si="16">J9</f>
        <v>165221.66166961991</v>
      </c>
      <c r="K18" s="13">
        <f t="shared" si="16"/>
        <v>161433.714203412</v>
      </c>
      <c r="L18" s="13">
        <f t="shared" si="16"/>
        <v>157732.61095521858</v>
      </c>
      <c r="M18" s="13">
        <f t="shared" si="16"/>
        <v>154116.36089473369</v>
      </c>
      <c r="N18" s="13">
        <f t="shared" si="16"/>
        <v>150583.01863892382</v>
      </c>
      <c r="O18" s="13">
        <f t="shared" si="16"/>
        <v>147130.68340549764</v>
      </c>
      <c r="P18" s="13">
        <f t="shared" si="16"/>
        <v>143757.49799036892</v>
      </c>
      <c r="Q18" s="13">
        <f t="shared" si="16"/>
        <v>140461.64776856275</v>
      </c>
      <c r="R18" s="13">
        <f t="shared" si="16"/>
        <v>137241.35971802715</v>
      </c>
      <c r="T18" s="55" t="s">
        <v>118</v>
      </c>
    </row>
    <row r="19" spans="1:20" ht="17" customHeight="1" x14ac:dyDescent="0.2">
      <c r="A19" s="14" t="s">
        <v>10</v>
      </c>
      <c r="B19" s="4"/>
      <c r="C19" s="4"/>
      <c r="D19" s="4"/>
      <c r="E19" s="4"/>
      <c r="F19" s="7"/>
      <c r="G19" s="7"/>
      <c r="H19" s="8"/>
      <c r="I19" s="54">
        <f>I10</f>
        <v>190000</v>
      </c>
      <c r="J19" s="54">
        <f>I19</f>
        <v>190000</v>
      </c>
      <c r="K19" s="54">
        <f t="shared" ref="K19:R19" si="17">J19</f>
        <v>190000</v>
      </c>
      <c r="L19" s="54">
        <f t="shared" si="17"/>
        <v>190000</v>
      </c>
      <c r="M19" s="54">
        <f t="shared" si="17"/>
        <v>190000</v>
      </c>
      <c r="N19" s="54">
        <f t="shared" si="17"/>
        <v>190000</v>
      </c>
      <c r="O19" s="54">
        <f t="shared" si="17"/>
        <v>190000</v>
      </c>
      <c r="P19" s="54">
        <f t="shared" si="17"/>
        <v>190000</v>
      </c>
      <c r="Q19" s="54">
        <f t="shared" si="17"/>
        <v>190000</v>
      </c>
      <c r="R19" s="54">
        <f t="shared" si="17"/>
        <v>190000</v>
      </c>
      <c r="T19" t="s">
        <v>117</v>
      </c>
    </row>
    <row r="20" spans="1:20" ht="17" customHeight="1" x14ac:dyDescent="0.2">
      <c r="A20" t="s">
        <v>115</v>
      </c>
      <c r="B20" s="49"/>
      <c r="C20" s="49"/>
      <c r="D20" s="49"/>
      <c r="E20" s="49"/>
      <c r="F20" s="50"/>
      <c r="G20" s="50"/>
      <c r="H20" s="51"/>
      <c r="I20" s="11">
        <f>SUM(I15:I19)</f>
        <v>1236348.0889580313</v>
      </c>
      <c r="J20" s="11">
        <f t="shared" ref="J20:R20" si="18">SUM(J15:J19)</f>
        <v>1389013.9594753557</v>
      </c>
      <c r="K20" s="11">
        <f t="shared" si="18"/>
        <v>1372596.088153596</v>
      </c>
      <c r="L20" s="11">
        <f t="shared" si="18"/>
        <v>1356200.9271531575</v>
      </c>
      <c r="M20" s="11">
        <f t="shared" si="18"/>
        <v>1339836.0647416771</v>
      </c>
      <c r="N20" s="11">
        <f t="shared" si="18"/>
        <v>1323508.7293055402</v>
      </c>
      <c r="O20" s="11">
        <f t="shared" si="18"/>
        <v>1307225.8018629209</v>
      </c>
      <c r="P20" s="11">
        <f t="shared" si="18"/>
        <v>1290993.8281922254</v>
      </c>
      <c r="Q20" s="11">
        <f t="shared" si="18"/>
        <v>1274819.0305869945</v>
      </c>
      <c r="R20" s="11">
        <f t="shared" si="18"/>
        <v>1258707.3192480202</v>
      </c>
    </row>
    <row r="21" spans="1:20" ht="17" customHeight="1" x14ac:dyDescent="0.2">
      <c r="A21" t="s">
        <v>116</v>
      </c>
      <c r="B21" s="49"/>
      <c r="C21" s="49"/>
      <c r="D21" s="49"/>
      <c r="E21" s="49">
        <f>E18+E15</f>
        <v>0</v>
      </c>
      <c r="F21" s="50"/>
      <c r="G21" s="50"/>
      <c r="H21" s="51"/>
      <c r="I21" s="54">
        <f>I18+I15</f>
        <v>750000</v>
      </c>
      <c r="J21" s="54">
        <f>I21</f>
        <v>750000</v>
      </c>
      <c r="K21" s="54">
        <f>J21</f>
        <v>750000</v>
      </c>
      <c r="L21" s="54">
        <f t="shared" ref="L21:R21" si="19">L18+L15</f>
        <v>750000</v>
      </c>
      <c r="M21" s="54">
        <f t="shared" si="19"/>
        <v>750000</v>
      </c>
      <c r="N21" s="54">
        <f t="shared" si="19"/>
        <v>750000</v>
      </c>
      <c r="O21" s="54">
        <f t="shared" si="19"/>
        <v>750000</v>
      </c>
      <c r="P21" s="54">
        <f t="shared" si="19"/>
        <v>750000</v>
      </c>
      <c r="Q21" s="54">
        <f t="shared" si="19"/>
        <v>750000</v>
      </c>
      <c r="R21" s="54">
        <f t="shared" si="19"/>
        <v>750000</v>
      </c>
      <c r="S21" t="s">
        <v>31</v>
      </c>
      <c r="T21" t="s">
        <v>117</v>
      </c>
    </row>
    <row r="22" spans="1:20" x14ac:dyDescent="0.2">
      <c r="A22" t="s">
        <v>11</v>
      </c>
      <c r="B22" s="4"/>
      <c r="C22" s="4"/>
      <c r="D22" s="4"/>
      <c r="E22" s="4"/>
      <c r="F22" s="7"/>
      <c r="G22" s="7"/>
      <c r="H22" s="8"/>
      <c r="I22" s="4">
        <f>I13</f>
        <v>1236348.0889580313</v>
      </c>
      <c r="J22" s="4">
        <f t="shared" ref="J22:R22" si="20">J4*J3</f>
        <v>1223792.2978057358</v>
      </c>
      <c r="K22" s="4">
        <f t="shared" si="20"/>
        <v>1211162.3739501841</v>
      </c>
      <c r="L22" s="4">
        <f t="shared" si="20"/>
        <v>1198468.316197939</v>
      </c>
      <c r="M22" s="56">
        <f t="shared" si="20"/>
        <v>1185719.7038469433</v>
      </c>
      <c r="N22" s="56">
        <f t="shared" si="20"/>
        <v>1172925.7106666164</v>
      </c>
      <c r="O22" s="56">
        <f t="shared" si="20"/>
        <v>1160095.1184574233</v>
      </c>
      <c r="P22" s="56">
        <f t="shared" si="20"/>
        <v>1147236.3302018566</v>
      </c>
      <c r="Q22" s="56">
        <f t="shared" si="20"/>
        <v>1134357.3828184318</v>
      </c>
      <c r="R22" s="56">
        <f t="shared" si="20"/>
        <v>1121465.9595299931</v>
      </c>
      <c r="S22" s="13">
        <f>SUM(I22:R22)</f>
        <v>11791571.282433156</v>
      </c>
      <c r="T22" t="s">
        <v>121</v>
      </c>
    </row>
    <row r="23" spans="1:20" s="21" customFormat="1" ht="17" customHeight="1" x14ac:dyDescent="0.2">
      <c r="A23" s="16" t="s">
        <v>15</v>
      </c>
      <c r="B23" s="17"/>
      <c r="C23" s="17"/>
      <c r="D23" s="17"/>
      <c r="E23" s="17"/>
      <c r="F23" s="18"/>
      <c r="G23" s="18"/>
      <c r="H23" s="19"/>
      <c r="I23" s="20"/>
      <c r="J23" s="20"/>
      <c r="K23" s="20"/>
      <c r="L23" s="20"/>
      <c r="M23" s="11"/>
      <c r="N23" s="11"/>
      <c r="O23" s="11"/>
      <c r="P23" s="11"/>
      <c r="Q23" s="11"/>
      <c r="R23" s="11"/>
    </row>
    <row r="24" spans="1:20" ht="18" customHeight="1" x14ac:dyDescent="0.2">
      <c r="A24" t="s">
        <v>7</v>
      </c>
      <c r="B24" s="6"/>
      <c r="C24" s="6"/>
      <c r="D24" s="6"/>
      <c r="E24" s="6"/>
      <c r="F24" s="7"/>
      <c r="G24" s="7"/>
      <c r="H24" s="35">
        <f>H134</f>
        <v>-0.04</v>
      </c>
      <c r="I24" s="9">
        <f>I4</f>
        <v>0.38023006328864567</v>
      </c>
      <c r="J24" s="9">
        <f>I24*(1+$H$24)</f>
        <v>0.36502086075709983</v>
      </c>
      <c r="K24" s="9">
        <f t="shared" ref="K24:R24" si="21">J24*(1+$H$24)</f>
        <v>0.35042002632681585</v>
      </c>
      <c r="L24" s="9">
        <f t="shared" si="21"/>
        <v>0.33640322527374322</v>
      </c>
      <c r="M24" s="9">
        <f t="shared" si="21"/>
        <v>0.3229470962627935</v>
      </c>
      <c r="N24" s="9">
        <f t="shared" si="21"/>
        <v>0.31002921241228176</v>
      </c>
      <c r="O24" s="9">
        <f t="shared" si="21"/>
        <v>0.29762804391579051</v>
      </c>
      <c r="P24" s="9">
        <f t="shared" si="21"/>
        <v>0.2857229221591589</v>
      </c>
      <c r="Q24" s="9">
        <f t="shared" si="21"/>
        <v>0.27429400527279252</v>
      </c>
      <c r="R24" s="9">
        <f t="shared" si="21"/>
        <v>0.26332224506188079</v>
      </c>
    </row>
    <row r="25" spans="1:20" x14ac:dyDescent="0.2">
      <c r="A25" s="10" t="s">
        <v>8</v>
      </c>
      <c r="B25" s="4"/>
      <c r="C25" s="4"/>
      <c r="D25" s="4"/>
      <c r="E25" s="4"/>
      <c r="F25" s="7"/>
      <c r="G25" s="7"/>
      <c r="H25" s="8"/>
      <c r="I25" s="11">
        <f>I6</f>
        <v>580901.50889749289</v>
      </c>
      <c r="J25" s="11">
        <f>750000-J28</f>
        <v>587665.44854159316</v>
      </c>
      <c r="K25" s="11">
        <f t="shared" ref="K25:R25" si="22">750000-K28</f>
        <v>594158.83059992944</v>
      </c>
      <c r="L25" s="11">
        <f t="shared" si="22"/>
        <v>600392.47737593227</v>
      </c>
      <c r="M25" s="11">
        <f t="shared" si="22"/>
        <v>606376.77828089497</v>
      </c>
      <c r="N25" s="11">
        <f t="shared" si="22"/>
        <v>612121.70714965917</v>
      </c>
      <c r="O25" s="11">
        <f t="shared" si="22"/>
        <v>617636.83886367281</v>
      </c>
      <c r="P25" s="11">
        <f t="shared" si="22"/>
        <v>622931.36530912598</v>
      </c>
      <c r="Q25" s="11">
        <f t="shared" si="22"/>
        <v>628014.11069676094</v>
      </c>
      <c r="R25" s="11">
        <f t="shared" si="22"/>
        <v>632893.5462688905</v>
      </c>
    </row>
    <row r="26" spans="1:20" x14ac:dyDescent="0.2">
      <c r="A26" s="10" t="s">
        <v>89</v>
      </c>
      <c r="B26" s="4"/>
      <c r="C26" s="4"/>
      <c r="D26" s="4"/>
      <c r="E26" s="4"/>
      <c r="F26" s="7"/>
      <c r="G26" s="7"/>
      <c r="H26" s="8"/>
      <c r="I26" s="54">
        <v>250000</v>
      </c>
      <c r="J26" s="12"/>
      <c r="K26" s="12"/>
      <c r="L26" s="12"/>
      <c r="M26" s="12"/>
      <c r="N26" s="12"/>
      <c r="O26" s="12"/>
      <c r="P26" s="12"/>
      <c r="Q26" s="12"/>
      <c r="R26" s="12"/>
    </row>
    <row r="27" spans="1:20" x14ac:dyDescent="0.2">
      <c r="A27" s="10" t="s">
        <v>9</v>
      </c>
      <c r="B27" s="4"/>
      <c r="C27" s="4"/>
      <c r="D27" s="4"/>
      <c r="E27" s="4"/>
      <c r="F27" s="7"/>
      <c r="G27" s="7"/>
      <c r="H27" s="8"/>
      <c r="I27" s="58">
        <f>I8</f>
        <v>46348.088958031265</v>
      </c>
      <c r="J27" s="58">
        <f>J32-J25-J28-J29</f>
        <v>262407.55198188662</v>
      </c>
      <c r="K27" s="58">
        <f t="shared" ref="K27:P27" si="23">K32-K25-K28-K29</f>
        <v>229204.101021501</v>
      </c>
      <c r="L27" s="58">
        <f t="shared" si="23"/>
        <v>196733.07405477506</v>
      </c>
      <c r="M27" s="58">
        <f t="shared" si="23"/>
        <v>164989.00268375268</v>
      </c>
      <c r="N27" s="58">
        <f t="shared" si="23"/>
        <v>133965.68410392455</v>
      </c>
      <c r="O27" s="58">
        <f t="shared" si="23"/>
        <v>103656.2486061888</v>
      </c>
      <c r="P27" s="58">
        <f t="shared" si="23"/>
        <v>74053.222853705462</v>
      </c>
      <c r="Q27" s="58">
        <f t="shared" ref="Q27" si="24">Q32-Q25-Q28-Q29</f>
        <v>45148.589163650817</v>
      </c>
      <c r="R27" s="58">
        <f t="shared" ref="R27" si="25">R32-R25-R28-R29</f>
        <v>16933.841012234625</v>
      </c>
    </row>
    <row r="28" spans="1:20" x14ac:dyDescent="0.2">
      <c r="A28" s="14" t="s">
        <v>111</v>
      </c>
      <c r="B28" s="49"/>
      <c r="C28" s="49"/>
      <c r="D28" s="49"/>
      <c r="E28" s="4"/>
      <c r="F28" s="50"/>
      <c r="G28" s="50"/>
      <c r="H28" s="51"/>
      <c r="I28" s="13">
        <f>I9</f>
        <v>169098.49110250713</v>
      </c>
      <c r="J28" s="11">
        <f>I28*(1+$H$24)</f>
        <v>162334.55145840684</v>
      </c>
      <c r="K28" s="11">
        <f t="shared" ref="K28:R28" si="26">J28*(1+$H$24)</f>
        <v>155841.16940007056</v>
      </c>
      <c r="L28" s="11">
        <f t="shared" si="26"/>
        <v>149607.52262406773</v>
      </c>
      <c r="M28" s="11">
        <f t="shared" si="26"/>
        <v>143623.221719105</v>
      </c>
      <c r="N28" s="11">
        <f t="shared" si="26"/>
        <v>137878.2928503408</v>
      </c>
      <c r="O28" s="11">
        <f t="shared" si="26"/>
        <v>132363.16113632717</v>
      </c>
      <c r="P28" s="11">
        <f t="shared" si="26"/>
        <v>127068.63469087408</v>
      </c>
      <c r="Q28" s="11">
        <f t="shared" si="26"/>
        <v>121985.88930323912</v>
      </c>
      <c r="R28" s="11">
        <f t="shared" si="26"/>
        <v>117106.45373110955</v>
      </c>
      <c r="T28" s="55" t="s">
        <v>118</v>
      </c>
    </row>
    <row r="29" spans="1:20" x14ac:dyDescent="0.2">
      <c r="A29" s="14" t="s">
        <v>10</v>
      </c>
      <c r="B29" s="4"/>
      <c r="C29" s="4"/>
      <c r="D29" s="4"/>
      <c r="E29" s="4"/>
      <c r="F29" s="7"/>
      <c r="G29" s="7"/>
      <c r="H29" s="8"/>
      <c r="I29" s="54">
        <f>I10</f>
        <v>190000</v>
      </c>
      <c r="J29" s="54">
        <f>I29</f>
        <v>190000</v>
      </c>
      <c r="K29" s="54">
        <f t="shared" ref="K29:R29" si="27">J29</f>
        <v>190000</v>
      </c>
      <c r="L29" s="54">
        <f t="shared" si="27"/>
        <v>190000</v>
      </c>
      <c r="M29" s="54">
        <f t="shared" si="27"/>
        <v>190000</v>
      </c>
      <c r="N29" s="54">
        <f t="shared" si="27"/>
        <v>190000</v>
      </c>
      <c r="O29" s="54">
        <f t="shared" si="27"/>
        <v>190000</v>
      </c>
      <c r="P29" s="54">
        <f t="shared" si="27"/>
        <v>190000</v>
      </c>
      <c r="Q29" s="54">
        <f t="shared" si="27"/>
        <v>190000</v>
      </c>
      <c r="R29" s="54">
        <f t="shared" si="27"/>
        <v>190000</v>
      </c>
      <c r="T29" t="s">
        <v>117</v>
      </c>
    </row>
    <row r="30" spans="1:20" ht="17" customHeight="1" x14ac:dyDescent="0.2">
      <c r="A30" t="s">
        <v>115</v>
      </c>
      <c r="B30" s="49"/>
      <c r="C30" s="49"/>
      <c r="D30" s="49"/>
      <c r="E30" s="49"/>
      <c r="F30" s="50"/>
      <c r="G30" s="50"/>
      <c r="H30" s="51"/>
      <c r="I30" s="11">
        <f>SUM(I25:I29)</f>
        <v>1236348.0889580313</v>
      </c>
      <c r="J30" s="11">
        <f>SUM(J25:J29)</f>
        <v>1202407.5519818866</v>
      </c>
      <c r="K30" s="11">
        <f>SUM(K25:K29)</f>
        <v>1169204.101021501</v>
      </c>
      <c r="L30" s="11">
        <f t="shared" ref="L30" si="28">SUM(L25:L29)</f>
        <v>1136733.0740547751</v>
      </c>
      <c r="M30" s="11">
        <f>SUM(M25:M29)</f>
        <v>1104989.0026837527</v>
      </c>
      <c r="N30" s="11">
        <f t="shared" ref="N30:R30" si="29">SUM(N25:N29)</f>
        <v>1073965.6841039245</v>
      </c>
      <c r="O30" s="11">
        <f t="shared" si="29"/>
        <v>1043656.2486061888</v>
      </c>
      <c r="P30" s="11">
        <f t="shared" si="29"/>
        <v>1014053.2228537055</v>
      </c>
      <c r="Q30" s="11">
        <f t="shared" si="29"/>
        <v>985148.58916365076</v>
      </c>
      <c r="R30" s="11">
        <f t="shared" si="29"/>
        <v>956933.84101223468</v>
      </c>
    </row>
    <row r="31" spans="1:20" ht="17" customHeight="1" x14ac:dyDescent="0.2">
      <c r="A31" t="s">
        <v>116</v>
      </c>
      <c r="B31" s="49"/>
      <c r="C31" s="49"/>
      <c r="D31" s="49"/>
      <c r="E31" s="49">
        <f>E28+E25</f>
        <v>0</v>
      </c>
      <c r="F31" s="50"/>
      <c r="G31" s="50"/>
      <c r="H31" s="51"/>
      <c r="I31" s="54">
        <f>I28+I25</f>
        <v>750000</v>
      </c>
      <c r="J31" s="54">
        <f>I31</f>
        <v>750000</v>
      </c>
      <c r="K31" s="54">
        <f>J31</f>
        <v>750000</v>
      </c>
      <c r="L31" s="54">
        <f t="shared" ref="L31:R31" si="30">L28+L25</f>
        <v>750000</v>
      </c>
      <c r="M31" s="54">
        <f t="shared" si="30"/>
        <v>750000</v>
      </c>
      <c r="N31" s="54">
        <f t="shared" si="30"/>
        <v>750000</v>
      </c>
      <c r="O31" s="54">
        <f t="shared" si="30"/>
        <v>750000</v>
      </c>
      <c r="P31" s="54">
        <f t="shared" si="30"/>
        <v>750000</v>
      </c>
      <c r="Q31" s="54">
        <f t="shared" si="30"/>
        <v>750000</v>
      </c>
      <c r="R31" s="54">
        <f t="shared" si="30"/>
        <v>750000</v>
      </c>
      <c r="S31" t="s">
        <v>31</v>
      </c>
      <c r="T31" t="s">
        <v>117</v>
      </c>
    </row>
    <row r="32" spans="1:20" x14ac:dyDescent="0.2">
      <c r="A32" t="s">
        <v>11</v>
      </c>
      <c r="B32" s="4"/>
      <c r="C32" s="4"/>
      <c r="D32" s="4"/>
      <c r="E32" s="4"/>
      <c r="F32" s="7"/>
      <c r="G32" s="7"/>
      <c r="H32" s="8"/>
      <c r="I32" s="4">
        <f>I13</f>
        <v>1236348.0889580313</v>
      </c>
      <c r="J32" s="4">
        <f t="shared" ref="J32:R32" si="31">J24*J3</f>
        <v>1202407.5519818866</v>
      </c>
      <c r="K32" s="4">
        <f t="shared" si="31"/>
        <v>1169204.101021501</v>
      </c>
      <c r="L32" s="4">
        <f t="shared" si="31"/>
        <v>1136733.0740547751</v>
      </c>
      <c r="M32" s="4">
        <f t="shared" si="31"/>
        <v>1104989.0026837527</v>
      </c>
      <c r="N32" s="4">
        <f t="shared" si="31"/>
        <v>1073965.6841039245</v>
      </c>
      <c r="O32" s="4">
        <f t="shared" si="31"/>
        <v>1043656.2486061888</v>
      </c>
      <c r="P32" s="4">
        <f t="shared" si="31"/>
        <v>1014053.2228537055</v>
      </c>
      <c r="Q32" s="4">
        <f t="shared" si="31"/>
        <v>985148.58916365087</v>
      </c>
      <c r="R32" s="4">
        <f t="shared" si="31"/>
        <v>956933.84101223468</v>
      </c>
      <c r="S32" s="13">
        <f>SUM(I32:R32)</f>
        <v>10923439.404439652</v>
      </c>
    </row>
    <row r="33" spans="1:21" x14ac:dyDescent="0.2">
      <c r="A33" t="s">
        <v>14</v>
      </c>
      <c r="M33" s="46"/>
      <c r="N33" s="46"/>
      <c r="O33" s="46"/>
      <c r="P33" s="46"/>
      <c r="Q33" s="46"/>
      <c r="R33" s="46"/>
      <c r="T33" t="s">
        <v>121</v>
      </c>
    </row>
    <row r="34" spans="1:21" s="21" customFormat="1" ht="17" customHeight="1" x14ac:dyDescent="0.2">
      <c r="A34" s="16" t="s">
        <v>101</v>
      </c>
      <c r="B34" s="17"/>
      <c r="C34" s="17"/>
      <c r="D34" s="17"/>
      <c r="E34" s="17"/>
      <c r="F34" s="18"/>
      <c r="G34" s="18"/>
      <c r="H34" s="19"/>
      <c r="I34" s="20"/>
      <c r="J34" s="20"/>
      <c r="K34" s="20"/>
      <c r="L34" s="20"/>
      <c r="M34" s="11"/>
      <c r="N34" s="11"/>
      <c r="O34" s="11"/>
      <c r="P34" s="11"/>
      <c r="Q34" s="11"/>
      <c r="R34" s="11"/>
    </row>
    <row r="35" spans="1:21" ht="18" customHeight="1" x14ac:dyDescent="0.2">
      <c r="A35" t="s">
        <v>7</v>
      </c>
      <c r="B35" s="6"/>
      <c r="C35" s="6"/>
      <c r="D35" s="6"/>
      <c r="E35" s="6"/>
      <c r="F35" s="7"/>
      <c r="G35" s="7"/>
      <c r="H35" s="35">
        <f>H24</f>
        <v>-0.04</v>
      </c>
      <c r="I35" s="9">
        <f>I24</f>
        <v>0.38023006328864567</v>
      </c>
      <c r="J35" s="9">
        <f>I35*(1+$H$24)</f>
        <v>0.36502086075709983</v>
      </c>
      <c r="K35" s="9">
        <f t="shared" ref="K35:R35" si="32">J35*(1+$H$24)</f>
        <v>0.35042002632681585</v>
      </c>
      <c r="L35" s="9">
        <f t="shared" si="32"/>
        <v>0.33640322527374322</v>
      </c>
      <c r="M35" s="9">
        <f t="shared" si="32"/>
        <v>0.3229470962627935</v>
      </c>
      <c r="N35" s="9">
        <f t="shared" si="32"/>
        <v>0.31002921241228176</v>
      </c>
      <c r="O35" s="9">
        <f t="shared" si="32"/>
        <v>0.29762804391579051</v>
      </c>
      <c r="P35" s="9">
        <f t="shared" si="32"/>
        <v>0.2857229221591589</v>
      </c>
      <c r="Q35" s="9">
        <f t="shared" si="32"/>
        <v>0.27429400527279252</v>
      </c>
      <c r="R35" s="9">
        <f t="shared" si="32"/>
        <v>0.26332224506188079</v>
      </c>
    </row>
    <row r="36" spans="1:21" x14ac:dyDescent="0.2">
      <c r="A36" s="10" t="s">
        <v>8</v>
      </c>
      <c r="B36" s="4"/>
      <c r="C36" s="4"/>
      <c r="D36" s="4"/>
      <c r="E36" s="4"/>
      <c r="F36" s="7"/>
      <c r="G36" s="7"/>
      <c r="H36" s="8"/>
      <c r="I36" s="11">
        <f>I6</f>
        <v>580901.50889749289</v>
      </c>
      <c r="J36" s="11">
        <f>750000-J39</f>
        <v>587665.44854159316</v>
      </c>
      <c r="K36" s="11">
        <f t="shared" ref="K36:R36" si="33">K43-K37-K39-K40</f>
        <v>573362.93162143044</v>
      </c>
      <c r="L36" s="11">
        <f t="shared" si="33"/>
        <v>547125.55143070733</v>
      </c>
      <c r="M36" s="11">
        <f t="shared" si="33"/>
        <v>521365.78096464765</v>
      </c>
      <c r="N36" s="11">
        <f t="shared" si="33"/>
        <v>496087.39125358372</v>
      </c>
      <c r="O36" s="11">
        <f t="shared" si="33"/>
        <v>471293.08746986161</v>
      </c>
      <c r="P36" s="11">
        <f t="shared" si="33"/>
        <v>446984.5881628315</v>
      </c>
      <c r="Q36" s="11">
        <f t="shared" si="33"/>
        <v>423162.6998604117</v>
      </c>
      <c r="R36" s="11">
        <f t="shared" si="33"/>
        <v>399827.38728112518</v>
      </c>
      <c r="S36" t="s">
        <v>88</v>
      </c>
    </row>
    <row r="37" spans="1:21" x14ac:dyDescent="0.2">
      <c r="A37" s="10" t="s">
        <v>89</v>
      </c>
      <c r="B37" s="4"/>
      <c r="C37" s="4"/>
      <c r="D37" s="4"/>
      <c r="E37" s="4"/>
      <c r="F37" s="7"/>
      <c r="G37" s="7"/>
      <c r="H37" s="8"/>
      <c r="I37" s="54">
        <v>250000</v>
      </c>
      <c r="J37" s="54">
        <f>I37</f>
        <v>250000</v>
      </c>
      <c r="K37" s="54">
        <f t="shared" ref="K37:R37" si="34">J37</f>
        <v>250000</v>
      </c>
      <c r="L37" s="54">
        <f t="shared" si="34"/>
        <v>250000</v>
      </c>
      <c r="M37" s="54">
        <f t="shared" si="34"/>
        <v>250000</v>
      </c>
      <c r="N37" s="54">
        <f t="shared" si="34"/>
        <v>250000</v>
      </c>
      <c r="O37" s="54">
        <f t="shared" si="34"/>
        <v>250000</v>
      </c>
      <c r="P37" s="54">
        <f t="shared" si="34"/>
        <v>250000</v>
      </c>
      <c r="Q37" s="54">
        <f t="shared" si="34"/>
        <v>250000</v>
      </c>
      <c r="R37" s="54">
        <f t="shared" si="34"/>
        <v>250000</v>
      </c>
      <c r="S37" t="s">
        <v>31</v>
      </c>
    </row>
    <row r="38" spans="1:21" x14ac:dyDescent="0.2">
      <c r="A38" s="10" t="s">
        <v>9</v>
      </c>
      <c r="B38" s="4"/>
      <c r="C38" s="4"/>
      <c r="D38" s="4"/>
      <c r="E38" s="4"/>
      <c r="F38" s="7"/>
      <c r="G38" s="7"/>
      <c r="H38" s="8"/>
      <c r="I38" s="58">
        <f>I8</f>
        <v>46348.088958031265</v>
      </c>
      <c r="J38" s="58">
        <f>J43-J36-J37-J39-J40</f>
        <v>12407.551981886616</v>
      </c>
      <c r="K38" s="58"/>
      <c r="L38" s="58"/>
      <c r="M38" s="58"/>
      <c r="N38" s="58"/>
      <c r="O38" s="58"/>
      <c r="P38" s="58"/>
      <c r="Q38" s="58"/>
      <c r="R38" s="58"/>
    </row>
    <row r="39" spans="1:21" x14ac:dyDescent="0.2">
      <c r="A39" s="14" t="s">
        <v>111</v>
      </c>
      <c r="B39" s="49"/>
      <c r="C39" s="49"/>
      <c r="D39" s="49"/>
      <c r="E39" s="4"/>
      <c r="F39" s="50"/>
      <c r="G39" s="50"/>
      <c r="H39" s="51"/>
      <c r="I39" s="13">
        <f>I9</f>
        <v>169098.49110250713</v>
      </c>
      <c r="J39" s="13">
        <f>J28</f>
        <v>162334.55145840684</v>
      </c>
      <c r="K39" s="13">
        <f t="shared" ref="K39:R39" si="35">K28</f>
        <v>155841.16940007056</v>
      </c>
      <c r="L39" s="13">
        <f t="shared" si="35"/>
        <v>149607.52262406773</v>
      </c>
      <c r="M39" s="13">
        <f t="shared" si="35"/>
        <v>143623.221719105</v>
      </c>
      <c r="N39" s="13">
        <f t="shared" si="35"/>
        <v>137878.2928503408</v>
      </c>
      <c r="O39" s="13">
        <f t="shared" si="35"/>
        <v>132363.16113632717</v>
      </c>
      <c r="P39" s="13">
        <f t="shared" si="35"/>
        <v>127068.63469087408</v>
      </c>
      <c r="Q39" s="13">
        <f t="shared" si="35"/>
        <v>121985.88930323912</v>
      </c>
      <c r="R39" s="13">
        <f t="shared" si="35"/>
        <v>117106.45373110955</v>
      </c>
      <c r="T39" s="55" t="s">
        <v>118</v>
      </c>
    </row>
    <row r="40" spans="1:21" x14ac:dyDescent="0.2">
      <c r="A40" s="14" t="s">
        <v>10</v>
      </c>
      <c r="B40" s="4"/>
      <c r="C40" s="4"/>
      <c r="D40" s="4"/>
      <c r="E40" s="4"/>
      <c r="F40" s="7"/>
      <c r="G40" s="7"/>
      <c r="H40" s="8"/>
      <c r="I40" s="54">
        <f>I19</f>
        <v>190000</v>
      </c>
      <c r="J40" s="54">
        <f>I40</f>
        <v>190000</v>
      </c>
      <c r="K40" s="54">
        <f t="shared" ref="K40:R40" si="36">J40</f>
        <v>190000</v>
      </c>
      <c r="L40" s="54">
        <f t="shared" si="36"/>
        <v>190000</v>
      </c>
      <c r="M40" s="54">
        <f t="shared" si="36"/>
        <v>190000</v>
      </c>
      <c r="N40" s="54">
        <f t="shared" si="36"/>
        <v>190000</v>
      </c>
      <c r="O40" s="54">
        <f t="shared" si="36"/>
        <v>190000</v>
      </c>
      <c r="P40" s="54">
        <f t="shared" si="36"/>
        <v>190000</v>
      </c>
      <c r="Q40" s="54">
        <f t="shared" si="36"/>
        <v>190000</v>
      </c>
      <c r="R40" s="54">
        <f t="shared" si="36"/>
        <v>190000</v>
      </c>
      <c r="T40" t="s">
        <v>117</v>
      </c>
    </row>
    <row r="41" spans="1:21" ht="17" customHeight="1" x14ac:dyDescent="0.2">
      <c r="A41" t="s">
        <v>115</v>
      </c>
      <c r="B41" s="49"/>
      <c r="C41" s="49"/>
      <c r="D41" s="49"/>
      <c r="E41" s="49"/>
      <c r="F41" s="50"/>
      <c r="G41" s="50"/>
      <c r="H41" s="51"/>
      <c r="I41" s="11">
        <f>SUM(I36:I40)</f>
        <v>1236348.0889580313</v>
      </c>
      <c r="J41" s="11">
        <f t="shared" ref="J41:R41" si="37">SUM(J36:J40)</f>
        <v>1202407.5519818866</v>
      </c>
      <c r="K41" s="11">
        <f t="shared" si="37"/>
        <v>1169204.101021501</v>
      </c>
      <c r="L41" s="11">
        <f t="shared" si="37"/>
        <v>1136733.0740547751</v>
      </c>
      <c r="M41" s="11">
        <f t="shared" si="37"/>
        <v>1104989.0026837527</v>
      </c>
      <c r="N41" s="11">
        <f t="shared" si="37"/>
        <v>1073965.6841039245</v>
      </c>
      <c r="O41" s="11">
        <f t="shared" si="37"/>
        <v>1043656.2486061888</v>
      </c>
      <c r="P41" s="11">
        <f t="shared" si="37"/>
        <v>1014053.2228537055</v>
      </c>
      <c r="Q41" s="11">
        <f t="shared" si="37"/>
        <v>985148.58916365076</v>
      </c>
      <c r="R41" s="11">
        <f t="shared" si="37"/>
        <v>956933.84101223468</v>
      </c>
    </row>
    <row r="42" spans="1:21" ht="17" customHeight="1" x14ac:dyDescent="0.2">
      <c r="A42" t="s">
        <v>116</v>
      </c>
      <c r="B42" s="49"/>
      <c r="C42" s="49"/>
      <c r="D42" s="49"/>
      <c r="E42" s="49">
        <f>E39+E36</f>
        <v>0</v>
      </c>
      <c r="F42" s="50"/>
      <c r="G42" s="50"/>
      <c r="H42" s="51"/>
      <c r="I42" s="54">
        <f>I39+I36</f>
        <v>750000</v>
      </c>
      <c r="J42" s="54">
        <f>J36+J39</f>
        <v>750000</v>
      </c>
      <c r="K42" s="54">
        <f t="shared" ref="K42:R42" si="38">K36+K39</f>
        <v>729204.101021501</v>
      </c>
      <c r="L42" s="54">
        <f t="shared" si="38"/>
        <v>696733.07405477506</v>
      </c>
      <c r="M42" s="54">
        <f t="shared" si="38"/>
        <v>664989.00268375268</v>
      </c>
      <c r="N42" s="54">
        <f t="shared" si="38"/>
        <v>633965.68410392455</v>
      </c>
      <c r="O42" s="54">
        <f t="shared" si="38"/>
        <v>603656.2486061888</v>
      </c>
      <c r="P42" s="54">
        <f t="shared" si="38"/>
        <v>574053.22285370552</v>
      </c>
      <c r="Q42" s="54">
        <f t="shared" si="38"/>
        <v>545148.58916365076</v>
      </c>
      <c r="R42" s="54">
        <f t="shared" si="38"/>
        <v>516933.84101223474</v>
      </c>
      <c r="T42" t="s">
        <v>117</v>
      </c>
      <c r="U42" t="s">
        <v>122</v>
      </c>
    </row>
    <row r="43" spans="1:21" x14ac:dyDescent="0.2">
      <c r="A43" t="s">
        <v>11</v>
      </c>
      <c r="B43" s="4"/>
      <c r="C43" s="4"/>
      <c r="D43" s="4"/>
      <c r="E43" s="4"/>
      <c r="F43" s="7"/>
      <c r="G43" s="7"/>
      <c r="H43" s="8"/>
      <c r="I43" s="4">
        <f>I32</f>
        <v>1236348.0889580313</v>
      </c>
      <c r="J43" s="4">
        <f t="shared" ref="J43:R43" si="39">J32</f>
        <v>1202407.5519818866</v>
      </c>
      <c r="K43" s="4">
        <f t="shared" si="39"/>
        <v>1169204.101021501</v>
      </c>
      <c r="L43" s="4">
        <f t="shared" si="39"/>
        <v>1136733.0740547751</v>
      </c>
      <c r="M43" s="4">
        <f t="shared" si="39"/>
        <v>1104989.0026837527</v>
      </c>
      <c r="N43" s="4">
        <f t="shared" si="39"/>
        <v>1073965.6841039245</v>
      </c>
      <c r="O43" s="4">
        <f t="shared" si="39"/>
        <v>1043656.2486061888</v>
      </c>
      <c r="P43" s="4">
        <f t="shared" si="39"/>
        <v>1014053.2228537055</v>
      </c>
      <c r="Q43" s="4">
        <f t="shared" si="39"/>
        <v>985148.58916365087</v>
      </c>
      <c r="R43" s="4">
        <f t="shared" si="39"/>
        <v>956933.84101223468</v>
      </c>
      <c r="S43" s="13">
        <f>SUM(I43:R43)</f>
        <v>10923439.404439652</v>
      </c>
    </row>
    <row r="44" spans="1:21" x14ac:dyDescent="0.2">
      <c r="A44" t="s">
        <v>14</v>
      </c>
      <c r="M44" s="11"/>
      <c r="N44" s="11"/>
      <c r="O44" s="11"/>
      <c r="P44" s="11"/>
      <c r="Q44" s="11"/>
      <c r="R44" s="11"/>
      <c r="T44" t="s">
        <v>120</v>
      </c>
    </row>
    <row r="46" spans="1:21" s="21" customFormat="1" ht="17" customHeight="1" x14ac:dyDescent="0.2">
      <c r="A46" s="16" t="s">
        <v>16</v>
      </c>
      <c r="B46" s="17"/>
      <c r="C46" s="17"/>
      <c r="D46" s="17"/>
      <c r="E46" s="17"/>
      <c r="F46" s="18"/>
      <c r="G46" s="18"/>
      <c r="H46" s="19"/>
      <c r="I46" s="20"/>
      <c r="J46" s="20"/>
      <c r="K46" s="20"/>
      <c r="L46" s="20"/>
      <c r="M46" s="20"/>
      <c r="N46" s="20"/>
      <c r="O46" s="20"/>
      <c r="P46" s="20"/>
      <c r="Q46" s="20"/>
      <c r="R46" s="20"/>
    </row>
    <row r="47" spans="1:21" ht="17" customHeight="1" x14ac:dyDescent="0.2">
      <c r="A47" s="22" t="s">
        <v>17</v>
      </c>
      <c r="B47" s="22"/>
      <c r="C47" s="22"/>
      <c r="D47" s="23"/>
      <c r="E47" s="23"/>
      <c r="F47" s="23"/>
      <c r="G47" s="23"/>
      <c r="H47" s="23" t="s">
        <v>18</v>
      </c>
      <c r="I47" s="60"/>
      <c r="J47" s="23"/>
      <c r="K47" s="23"/>
      <c r="L47" s="23"/>
      <c r="M47" s="23"/>
      <c r="N47" s="23"/>
      <c r="O47" s="23"/>
      <c r="P47" s="23"/>
      <c r="Q47" s="23"/>
      <c r="R47" s="23"/>
      <c r="S47" s="23"/>
    </row>
    <row r="48" spans="1:21" x14ac:dyDescent="0.2">
      <c r="A48" s="23" t="s">
        <v>19</v>
      </c>
      <c r="B48" s="23"/>
      <c r="C48" s="23"/>
      <c r="D48" s="23"/>
      <c r="E48" s="23"/>
      <c r="F48" s="23"/>
      <c r="G48" s="23"/>
      <c r="H48" s="30">
        <f>'Disposal costs'!F2</f>
        <v>64</v>
      </c>
      <c r="I48" s="24">
        <f t="shared" ref="I48:R48" si="40">I6*($H$48*(1+0.02*(I2-2024)))</f>
        <v>39408358.363605917</v>
      </c>
      <c r="J48" s="24">
        <f t="shared" si="40"/>
        <v>40419878.745395876</v>
      </c>
      <c r="K48" s="24">
        <f t="shared" si="40"/>
        <v>41435066.520079799</v>
      </c>
      <c r="L48" s="24">
        <f t="shared" si="40"/>
        <v>42453726.446729936</v>
      </c>
      <c r="M48" s="24">
        <f t="shared" si="40"/>
        <v>43163379.901793219</v>
      </c>
      <c r="N48" s="24">
        <f t="shared" si="40"/>
        <v>43233121.456135899</v>
      </c>
      <c r="O48" s="24">
        <f t="shared" si="40"/>
        <v>43270274.135121427</v>
      </c>
      <c r="P48" s="24">
        <f t="shared" si="40"/>
        <v>43275174.313842252</v>
      </c>
      <c r="Q48" s="24">
        <f t="shared" si="40"/>
        <v>43248178.992693774</v>
      </c>
      <c r="R48" s="24">
        <f t="shared" si="40"/>
        <v>43189664.241077617</v>
      </c>
      <c r="S48" s="23"/>
    </row>
    <row r="49" spans="1:19" x14ac:dyDescent="0.2">
      <c r="A49" s="23" t="s">
        <v>74</v>
      </c>
      <c r="B49" s="23"/>
      <c r="C49" s="23"/>
      <c r="D49" s="23"/>
      <c r="E49" s="23"/>
      <c r="F49" s="23"/>
      <c r="G49" s="23"/>
      <c r="H49" s="30">
        <f>'Disposal costs'!F3</f>
        <v>107.23583695223056</v>
      </c>
      <c r="I49" s="24">
        <f>I7*($H$49*(1+0.05*(I2-2024)))</f>
        <v>30830303.123766281</v>
      </c>
      <c r="J49" s="24">
        <f>J7*($H$49*(1+0.05*(J2-2024)))</f>
        <v>32170751.085669167</v>
      </c>
      <c r="K49" s="24">
        <f t="shared" ref="K49:R49" si="41">K7*($H$49*(1+0.05*(K2-2024)))</f>
        <v>33511199.04757205</v>
      </c>
      <c r="L49" s="24">
        <f t="shared" si="41"/>
        <v>34851647.009474933</v>
      </c>
      <c r="M49" s="24">
        <f t="shared" si="41"/>
        <v>36192094.971377812</v>
      </c>
      <c r="N49" s="24">
        <f t="shared" si="41"/>
        <v>37532542.933280692</v>
      </c>
      <c r="O49" s="24">
        <f t="shared" si="41"/>
        <v>38872990.895183578</v>
      </c>
      <c r="P49" s="24">
        <f t="shared" si="41"/>
        <v>40213438.857086457</v>
      </c>
      <c r="Q49" s="24">
        <f t="shared" si="41"/>
        <v>41553886.818989344</v>
      </c>
      <c r="R49" s="24">
        <f t="shared" si="41"/>
        <v>42894334.780892223</v>
      </c>
      <c r="S49" s="23"/>
    </row>
    <row r="50" spans="1:19" x14ac:dyDescent="0.2">
      <c r="A50" s="23" t="s">
        <v>20</v>
      </c>
      <c r="B50" s="23"/>
      <c r="C50" s="23"/>
      <c r="D50" s="23"/>
      <c r="E50" s="23"/>
      <c r="F50" s="23"/>
      <c r="G50" s="23"/>
      <c r="H50" s="30">
        <f>'Disposal costs'!F4</f>
        <v>171</v>
      </c>
      <c r="I50" s="24">
        <f>I8*($H$50*(1+0.02*(I2-2024)))</f>
        <v>8401054.6045327485</v>
      </c>
      <c r="J50" s="24">
        <f>J8*($H$50*(1+0.02*(J2-2024)))</f>
        <v>6240761.5587632954</v>
      </c>
      <c r="K50" s="24">
        <f>K8*($H$50*(1+0.02*(K2-2024)))</f>
        <v>3980642.5400296277</v>
      </c>
      <c r="L50" s="24">
        <f>L8*($H$50*(1+0.05*(L2-2024)))</f>
        <v>1882506.6908018363</v>
      </c>
      <c r="M50" s="24">
        <f t="shared" ref="M50:R50" si="42">M8*($H$50*(1+0.02*(M2-2024)))</f>
        <v>0</v>
      </c>
      <c r="N50" s="24">
        <f t="shared" si="42"/>
        <v>0</v>
      </c>
      <c r="O50" s="24">
        <f t="shared" si="42"/>
        <v>0</v>
      </c>
      <c r="P50" s="24">
        <f t="shared" si="42"/>
        <v>0</v>
      </c>
      <c r="Q50" s="24">
        <f t="shared" si="42"/>
        <v>0</v>
      </c>
      <c r="R50" s="24">
        <f t="shared" si="42"/>
        <v>0</v>
      </c>
      <c r="S50" s="23"/>
    </row>
    <row r="51" spans="1:19" x14ac:dyDescent="0.2">
      <c r="A51" s="22" t="s">
        <v>21</v>
      </c>
      <c r="B51" s="22"/>
      <c r="C51" s="22"/>
      <c r="D51" s="22"/>
      <c r="E51" s="22"/>
      <c r="F51" s="22"/>
      <c r="G51" s="22"/>
      <c r="H51" s="22"/>
      <c r="I51" s="26">
        <f>SUM(I48:I50)</f>
        <v>78639716.091904938</v>
      </c>
      <c r="J51" s="26">
        <f t="shared" ref="J51:R51" si="43">SUM(J48:J50)</f>
        <v>78831391.389828339</v>
      </c>
      <c r="K51" s="26">
        <f t="shared" si="43"/>
        <v>78926908.107681483</v>
      </c>
      <c r="L51" s="26">
        <f t="shared" si="43"/>
        <v>79187880.147006691</v>
      </c>
      <c r="M51" s="26">
        <f t="shared" si="43"/>
        <v>79355474.873171031</v>
      </c>
      <c r="N51" s="26">
        <f t="shared" si="43"/>
        <v>80765664.38941659</v>
      </c>
      <c r="O51" s="26">
        <f t="shared" si="43"/>
        <v>82143265.030304998</v>
      </c>
      <c r="P51" s="26">
        <f t="shared" si="43"/>
        <v>83488613.170928717</v>
      </c>
      <c r="Q51" s="26">
        <f t="shared" si="43"/>
        <v>84802065.811683118</v>
      </c>
      <c r="R51" s="26">
        <f t="shared" si="43"/>
        <v>86083999.02196984</v>
      </c>
      <c r="S51" s="23"/>
    </row>
    <row r="52" spans="1:19" x14ac:dyDescent="0.2">
      <c r="A52" s="22" t="s">
        <v>25</v>
      </c>
      <c r="J52" s="23"/>
      <c r="K52" s="23"/>
      <c r="L52" s="23"/>
      <c r="M52" s="23"/>
      <c r="N52" s="23"/>
      <c r="O52" s="23"/>
      <c r="P52" s="23"/>
      <c r="Q52" s="23"/>
      <c r="S52" s="26">
        <f>SUM(I51:R51)</f>
        <v>812224978.03389573</v>
      </c>
    </row>
    <row r="53" spans="1:19" x14ac:dyDescent="0.2">
      <c r="A53" s="23" t="s">
        <v>81</v>
      </c>
      <c r="B53" s="23"/>
      <c r="C53" s="23"/>
      <c r="D53" s="23"/>
      <c r="E53" s="23"/>
      <c r="F53" s="33">
        <v>220000000</v>
      </c>
      <c r="G53" s="33"/>
      <c r="H53" s="23"/>
      <c r="I53" s="27">
        <f>F53/20</f>
        <v>11000000</v>
      </c>
      <c r="J53" s="27">
        <f>I53</f>
        <v>11000000</v>
      </c>
      <c r="K53" s="27">
        <f t="shared" ref="K53:R53" si="44">J53</f>
        <v>11000000</v>
      </c>
      <c r="L53" s="27">
        <f t="shared" si="44"/>
        <v>11000000</v>
      </c>
      <c r="M53" s="27">
        <f t="shared" si="44"/>
        <v>11000000</v>
      </c>
      <c r="N53" s="27">
        <f t="shared" si="44"/>
        <v>11000000</v>
      </c>
      <c r="O53" s="27">
        <f t="shared" si="44"/>
        <v>11000000</v>
      </c>
      <c r="P53" s="27">
        <f t="shared" si="44"/>
        <v>11000000</v>
      </c>
      <c r="Q53" s="27">
        <f t="shared" si="44"/>
        <v>11000000</v>
      </c>
      <c r="R53" s="27">
        <f t="shared" si="44"/>
        <v>11000000</v>
      </c>
      <c r="S53" s="23" t="s">
        <v>127</v>
      </c>
    </row>
    <row r="54" spans="1:19" x14ac:dyDescent="0.2">
      <c r="A54" s="22" t="s">
        <v>24</v>
      </c>
      <c r="B54" s="23"/>
      <c r="C54" s="23"/>
      <c r="D54" s="23"/>
      <c r="E54" s="23"/>
      <c r="F54" s="23"/>
      <c r="G54" s="23"/>
      <c r="H54" s="23"/>
      <c r="I54" s="28">
        <f>SUM(I53+I51)</f>
        <v>89639716.091904938</v>
      </c>
      <c r="J54" s="28">
        <f t="shared" ref="J54:R54" si="45">SUM(J53+J51)</f>
        <v>89831391.389828339</v>
      </c>
      <c r="K54" s="28">
        <f t="shared" si="45"/>
        <v>89926908.107681483</v>
      </c>
      <c r="L54" s="28">
        <f t="shared" si="45"/>
        <v>90187880.147006691</v>
      </c>
      <c r="M54" s="28">
        <f t="shared" si="45"/>
        <v>90355474.873171031</v>
      </c>
      <c r="N54" s="28">
        <f t="shared" si="45"/>
        <v>91765664.38941659</v>
      </c>
      <c r="O54" s="28">
        <f t="shared" si="45"/>
        <v>93143265.030304998</v>
      </c>
      <c r="P54" s="28">
        <f t="shared" si="45"/>
        <v>94488613.170928717</v>
      </c>
      <c r="Q54" s="28">
        <f t="shared" si="45"/>
        <v>95802065.811683118</v>
      </c>
      <c r="R54" s="28">
        <f t="shared" si="45"/>
        <v>97083999.02196984</v>
      </c>
    </row>
    <row r="55" spans="1:19" x14ac:dyDescent="0.2">
      <c r="A55" s="15" t="s">
        <v>26</v>
      </c>
      <c r="S55" s="26">
        <f>SUM(I54:R54)</f>
        <v>922224978.03389573</v>
      </c>
    </row>
    <row r="56" spans="1:19" x14ac:dyDescent="0.2">
      <c r="A56" s="22" t="s">
        <v>27</v>
      </c>
      <c r="B56" s="22"/>
      <c r="C56" s="22"/>
      <c r="D56" s="23"/>
      <c r="E56" s="23"/>
      <c r="F56" s="23"/>
      <c r="G56" s="23"/>
      <c r="H56" s="23" t="s">
        <v>28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</row>
    <row r="57" spans="1:19" x14ac:dyDescent="0.2">
      <c r="A57" s="23" t="s">
        <v>19</v>
      </c>
      <c r="B57" s="23"/>
      <c r="C57" s="23"/>
      <c r="D57" s="23"/>
      <c r="E57" s="23"/>
      <c r="F57" s="23"/>
      <c r="G57" s="23"/>
      <c r="H57" s="24">
        <f>'Disposal costs'!F12</f>
        <v>47.643125769627581</v>
      </c>
      <c r="I57" s="24">
        <f>I6*($H$57*(1+0.02*(I2-2022)))</f>
        <v>30443560.01298666</v>
      </c>
      <c r="J57" s="24">
        <f t="shared" ref="J57:R57" si="46">J6*$H$57*(1+0.02*(I2-2022))</f>
        <v>30646734.712470945</v>
      </c>
      <c r="K57" s="24">
        <f t="shared" si="46"/>
        <v>31406074.087325752</v>
      </c>
      <c r="L57" s="24">
        <f t="shared" si="46"/>
        <v>32167915.464280803</v>
      </c>
      <c r="M57" s="24">
        <f t="shared" si="46"/>
        <v>32695565.669844918</v>
      </c>
      <c r="N57" s="24">
        <f t="shared" si="46"/>
        <v>32738658.818412658</v>
      </c>
      <c r="O57" s="24">
        <f t="shared" si="46"/>
        <v>32757379.968843009</v>
      </c>
      <c r="P57" s="24">
        <f t="shared" si="46"/>
        <v>32751989.303321239</v>
      </c>
      <c r="Q57" s="24">
        <f t="shared" si="46"/>
        <v>32722761.968619119</v>
      </c>
      <c r="R57" s="24">
        <f t="shared" si="46"/>
        <v>32669986.930266082</v>
      </c>
      <c r="S57" s="23" t="s">
        <v>123</v>
      </c>
    </row>
    <row r="58" spans="1:19" x14ac:dyDescent="0.2">
      <c r="A58" s="23" t="s">
        <v>74</v>
      </c>
      <c r="B58" s="23"/>
      <c r="C58" s="23"/>
      <c r="D58" s="23"/>
      <c r="E58" s="23"/>
      <c r="F58" s="23"/>
      <c r="G58" s="23"/>
      <c r="H58" s="24">
        <f>'Disposal costs'!F13</f>
        <v>78.280771161677052</v>
      </c>
      <c r="I58" s="24">
        <f>I7*($H$58*(1+0.05*(I2-2022)))</f>
        <v>24462740.988024082</v>
      </c>
      <c r="J58" s="24">
        <f t="shared" ref="J58:R58" si="47">J7*($H$58*(1+0.05*(J2-2022)))</f>
        <v>25441250.62754504</v>
      </c>
      <c r="K58" s="24">
        <f t="shared" si="47"/>
        <v>26419760.267066006</v>
      </c>
      <c r="L58" s="24">
        <f t="shared" si="47"/>
        <v>27398269.906586967</v>
      </c>
      <c r="M58" s="24">
        <f t="shared" si="47"/>
        <v>28376779.546107929</v>
      </c>
      <c r="N58" s="24">
        <f t="shared" si="47"/>
        <v>29355289.185628895</v>
      </c>
      <c r="O58" s="24">
        <f t="shared" si="47"/>
        <v>30333798.82514986</v>
      </c>
      <c r="P58" s="24">
        <f t="shared" si="47"/>
        <v>31312308.464670822</v>
      </c>
      <c r="Q58" s="24">
        <f t="shared" si="47"/>
        <v>32290818.104191784</v>
      </c>
      <c r="R58" s="24">
        <f t="shared" si="47"/>
        <v>33269327.743712749</v>
      </c>
      <c r="S58" s="23"/>
    </row>
    <row r="59" spans="1:19" x14ac:dyDescent="0.2">
      <c r="A59" s="23" t="s">
        <v>20</v>
      </c>
      <c r="B59" s="23"/>
      <c r="C59" s="23"/>
      <c r="D59" s="23"/>
      <c r="E59" s="23"/>
      <c r="F59" s="23"/>
      <c r="G59" s="23"/>
      <c r="H59" s="24">
        <f>'Disposal costs'!F14</f>
        <v>117.41999999999999</v>
      </c>
      <c r="I59" s="24">
        <f t="shared" ref="I59:R59" si="48">I8*($H$59*(1+0.02*(I2-2022)))</f>
        <v>5986411.8659972344</v>
      </c>
      <c r="J59" s="24">
        <f t="shared" si="48"/>
        <v>4444038.6013514427</v>
      </c>
      <c r="K59" s="24">
        <f t="shared" si="48"/>
        <v>2832769.9821229023</v>
      </c>
      <c r="L59" s="24">
        <f t="shared" si="48"/>
        <v>1153445.6380359146</v>
      </c>
      <c r="M59" s="24">
        <f t="shared" si="48"/>
        <v>0</v>
      </c>
      <c r="N59" s="24">
        <f t="shared" si="48"/>
        <v>0</v>
      </c>
      <c r="O59" s="24">
        <f t="shared" si="48"/>
        <v>0</v>
      </c>
      <c r="P59" s="24">
        <f t="shared" si="48"/>
        <v>0</v>
      </c>
      <c r="Q59" s="24">
        <f t="shared" si="48"/>
        <v>0</v>
      </c>
      <c r="R59" s="24">
        <f t="shared" si="48"/>
        <v>0</v>
      </c>
      <c r="S59" s="23"/>
    </row>
    <row r="60" spans="1:19" x14ac:dyDescent="0.2">
      <c r="A60" s="22" t="s">
        <v>21</v>
      </c>
      <c r="B60" s="22"/>
      <c r="C60" s="22"/>
      <c r="D60" s="22"/>
      <c r="E60" s="22"/>
      <c r="F60" s="22"/>
      <c r="G60" s="22"/>
      <c r="H60" s="22"/>
      <c r="I60" s="26">
        <f>SUM(I57:I59)</f>
        <v>60892712.867007978</v>
      </c>
      <c r="J60" s="26">
        <f t="shared" ref="J60:R60" si="49">SUM(J57:J59)</f>
        <v>60532023.941367425</v>
      </c>
      <c r="K60" s="26">
        <f t="shared" si="49"/>
        <v>60658604.336514659</v>
      </c>
      <c r="L60" s="26">
        <f t="shared" si="49"/>
        <v>60719631.00890369</v>
      </c>
      <c r="M60" s="26">
        <f t="shared" si="49"/>
        <v>61072345.215952843</v>
      </c>
      <c r="N60" s="26">
        <f t="shared" si="49"/>
        <v>62093948.004041553</v>
      </c>
      <c r="O60" s="26">
        <f t="shared" si="49"/>
        <v>63091178.79399287</v>
      </c>
      <c r="P60" s="26">
        <f t="shared" si="49"/>
        <v>64064297.767992064</v>
      </c>
      <c r="Q60" s="26">
        <f t="shared" si="49"/>
        <v>65013580.072810903</v>
      </c>
      <c r="R60" s="26">
        <f t="shared" si="49"/>
        <v>65939314.673978835</v>
      </c>
      <c r="S60" s="23"/>
    </row>
    <row r="61" spans="1:19" x14ac:dyDescent="0.2">
      <c r="A61" s="22" t="s">
        <v>80</v>
      </c>
      <c r="J61" s="23"/>
      <c r="K61" s="23"/>
      <c r="L61" s="23"/>
      <c r="M61" s="23"/>
      <c r="N61" s="23"/>
      <c r="O61" s="23"/>
      <c r="P61" s="23"/>
      <c r="Q61" s="23"/>
      <c r="S61" s="26">
        <f>SUM(I60:R60)</f>
        <v>624077636.68256283</v>
      </c>
    </row>
    <row r="62" spans="1:19" x14ac:dyDescent="0.2">
      <c r="A62" s="23" t="s">
        <v>81</v>
      </c>
      <c r="B62" s="23"/>
      <c r="C62" s="23"/>
      <c r="D62" s="23"/>
      <c r="E62" s="23"/>
      <c r="F62" s="27">
        <f>F53</f>
        <v>220000000</v>
      </c>
      <c r="G62" s="27"/>
      <c r="H62" s="23"/>
      <c r="I62" s="27">
        <f>F62/20</f>
        <v>11000000</v>
      </c>
      <c r="J62" s="27">
        <f>I62</f>
        <v>11000000</v>
      </c>
      <c r="K62" s="27">
        <f t="shared" ref="K62:R62" si="50">J62</f>
        <v>11000000</v>
      </c>
      <c r="L62" s="27">
        <f t="shared" si="50"/>
        <v>11000000</v>
      </c>
      <c r="M62" s="27">
        <f t="shared" si="50"/>
        <v>11000000</v>
      </c>
      <c r="N62" s="27">
        <f t="shared" si="50"/>
        <v>11000000</v>
      </c>
      <c r="O62" s="27">
        <f t="shared" si="50"/>
        <v>11000000</v>
      </c>
      <c r="P62" s="27">
        <f t="shared" si="50"/>
        <v>11000000</v>
      </c>
      <c r="Q62" s="27">
        <f t="shared" si="50"/>
        <v>11000000</v>
      </c>
      <c r="R62" s="27">
        <f t="shared" si="50"/>
        <v>11000000</v>
      </c>
      <c r="S62" s="23"/>
    </row>
    <row r="63" spans="1:19" x14ac:dyDescent="0.2">
      <c r="A63" s="22" t="s">
        <v>24</v>
      </c>
      <c r="B63" s="23"/>
      <c r="C63" s="23"/>
      <c r="D63" s="23"/>
      <c r="E63" s="23"/>
      <c r="F63" s="23"/>
      <c r="G63" s="23"/>
      <c r="H63" s="23"/>
      <c r="I63" s="28">
        <f>SUM(I62+I60)</f>
        <v>71892712.867007971</v>
      </c>
      <c r="J63" s="28">
        <f t="shared" ref="J63:R63" si="51">SUM(J62+J60)</f>
        <v>71532023.941367418</v>
      </c>
      <c r="K63" s="28">
        <f t="shared" si="51"/>
        <v>71658604.336514652</v>
      </c>
      <c r="L63" s="28">
        <f t="shared" si="51"/>
        <v>71719631.008903682</v>
      </c>
      <c r="M63" s="28">
        <f t="shared" si="51"/>
        <v>72072345.215952843</v>
      </c>
      <c r="N63" s="28">
        <f t="shared" si="51"/>
        <v>73093948.004041553</v>
      </c>
      <c r="O63" s="28">
        <f t="shared" si="51"/>
        <v>74091178.793992877</v>
      </c>
      <c r="P63" s="28">
        <f t="shared" si="51"/>
        <v>75064297.767992064</v>
      </c>
      <c r="Q63" s="28">
        <f t="shared" si="51"/>
        <v>76013580.072810903</v>
      </c>
      <c r="R63" s="28">
        <f t="shared" si="51"/>
        <v>76939314.673978835</v>
      </c>
    </row>
    <row r="64" spans="1:19" x14ac:dyDescent="0.2">
      <c r="A64" s="15" t="s">
        <v>26</v>
      </c>
      <c r="I64" s="25"/>
      <c r="S64" s="26">
        <f>SUM(I63:R63)</f>
        <v>734077636.68256271</v>
      </c>
    </row>
    <row r="66" spans="1:19" s="21" customFormat="1" x14ac:dyDescent="0.2">
      <c r="A66" s="16" t="s">
        <v>32</v>
      </c>
    </row>
    <row r="67" spans="1:19" x14ac:dyDescent="0.2">
      <c r="A67" s="22" t="s">
        <v>30</v>
      </c>
      <c r="B67" s="22"/>
      <c r="C67" s="22"/>
      <c r="D67" s="23"/>
      <c r="E67" s="23"/>
      <c r="F67" s="23"/>
      <c r="G67" s="23"/>
      <c r="H67" s="23" t="s">
        <v>18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</row>
    <row r="68" spans="1:19" x14ac:dyDescent="0.2">
      <c r="A68" s="23" t="s">
        <v>19</v>
      </c>
      <c r="B68" s="23"/>
      <c r="C68" s="23"/>
      <c r="D68" s="23"/>
      <c r="E68" s="23"/>
      <c r="F68" s="23"/>
      <c r="G68" s="23"/>
      <c r="H68" s="24">
        <f>H48</f>
        <v>64</v>
      </c>
      <c r="I68" s="24">
        <f t="shared" ref="I68:R68" si="52">I15*($H$68*(1+0.02*(I2-2024)))</f>
        <v>39408358.363605917</v>
      </c>
      <c r="J68" s="24">
        <f t="shared" si="52"/>
        <v>40419878.745395876</v>
      </c>
      <c r="K68" s="24">
        <f t="shared" si="52"/>
        <v>41435066.520079799</v>
      </c>
      <c r="L68" s="24">
        <f t="shared" si="52"/>
        <v>42453726.446729936</v>
      </c>
      <c r="M68" s="24">
        <f t="shared" si="52"/>
        <v>43475670.309120238</v>
      </c>
      <c r="N68" s="24">
        <f t="shared" si="52"/>
        <v>44500716.696246296</v>
      </c>
      <c r="O68" s="24">
        <f t="shared" si="52"/>
        <v>45528690.789216824</v>
      </c>
      <c r="P68" s="24">
        <f t="shared" si="52"/>
        <v>46559424.154339671</v>
      </c>
      <c r="Q68" s="24">
        <f t="shared" si="52"/>
        <v>47592754.542230621</v>
      </c>
      <c r="R68" s="24">
        <f t="shared" si="52"/>
        <v>48628525.692777365</v>
      </c>
      <c r="S68" s="23"/>
    </row>
    <row r="69" spans="1:19" x14ac:dyDescent="0.2">
      <c r="A69" s="23" t="s">
        <v>74</v>
      </c>
      <c r="B69" s="23"/>
      <c r="C69" s="23"/>
      <c r="D69" s="23"/>
      <c r="E69" s="23"/>
      <c r="F69" s="23"/>
      <c r="G69" s="23"/>
      <c r="H69" s="24">
        <f>H49</f>
        <v>107.23583695223056</v>
      </c>
      <c r="I69" s="24">
        <f>I16*($H$69*(1+0.052*(I2-2024)))</f>
        <v>30991156.879194628</v>
      </c>
      <c r="J69" s="24">
        <f t="shared" ref="J69:R69" si="53">J16*($H$69*(1+0.02*(J2-2024)))</f>
        <v>0</v>
      </c>
      <c r="K69" s="24">
        <f t="shared" si="53"/>
        <v>0</v>
      </c>
      <c r="L69" s="24">
        <f t="shared" si="53"/>
        <v>0</v>
      </c>
      <c r="M69" s="24">
        <f t="shared" si="53"/>
        <v>0</v>
      </c>
      <c r="N69" s="24">
        <f t="shared" si="53"/>
        <v>0</v>
      </c>
      <c r="O69" s="24">
        <f t="shared" si="53"/>
        <v>0</v>
      </c>
      <c r="P69" s="24">
        <f t="shared" si="53"/>
        <v>0</v>
      </c>
      <c r="Q69" s="24">
        <f t="shared" si="53"/>
        <v>0</v>
      </c>
      <c r="R69" s="24">
        <f t="shared" si="53"/>
        <v>0</v>
      </c>
      <c r="S69" s="23"/>
    </row>
    <row r="70" spans="1:19" x14ac:dyDescent="0.2">
      <c r="A70" s="23" t="s">
        <v>20</v>
      </c>
      <c r="B70" s="23"/>
      <c r="C70" s="23"/>
      <c r="D70" s="23"/>
      <c r="E70" s="23"/>
      <c r="F70" s="23"/>
      <c r="G70" s="23"/>
      <c r="H70" s="24">
        <f>H50</f>
        <v>171</v>
      </c>
      <c r="I70" s="24">
        <f t="shared" ref="I70:R70" si="54">I17*($H$70*(1+0.02*(I2-2024)))</f>
        <v>8401054.6045327485</v>
      </c>
      <c r="J70" s="24">
        <f t="shared" si="54"/>
        <v>82923898.035908699</v>
      </c>
      <c r="K70" s="24">
        <f t="shared" si="54"/>
        <v>81371324.181691423</v>
      </c>
      <c r="L70" s="24">
        <f t="shared" si="54"/>
        <v>79710801.568372741</v>
      </c>
      <c r="M70" s="24">
        <f t="shared" si="54"/>
        <v>77944042.460742533</v>
      </c>
      <c r="N70" s="24">
        <f t="shared" si="54"/>
        <v>76072791.545046955</v>
      </c>
      <c r="O70" s="24">
        <f t="shared" si="54"/>
        <v>74098822.299900174</v>
      </c>
      <c r="P70" s="24">
        <f t="shared" si="54"/>
        <v>72023933.545044661</v>
      </c>
      <c r="Q70" s="24">
        <f t="shared" si="54"/>
        <v>69849946.161058813</v>
      </c>
      <c r="R70" s="24">
        <f t="shared" si="54"/>
        <v>67578699.973350227</v>
      </c>
      <c r="S70" s="23"/>
    </row>
    <row r="71" spans="1:19" x14ac:dyDescent="0.2">
      <c r="A71" s="22" t="s">
        <v>21</v>
      </c>
      <c r="B71" s="22"/>
      <c r="C71" s="22"/>
      <c r="D71" s="22"/>
      <c r="E71" s="22"/>
      <c r="F71" s="22"/>
      <c r="G71" s="22"/>
      <c r="H71" s="22"/>
      <c r="I71" s="26">
        <f>SUM(I68:I70)</f>
        <v>78800569.847333297</v>
      </c>
      <c r="J71" s="26">
        <f t="shared" ref="J71:R71" si="55">SUM(J68:J70)</f>
        <v>123343776.78130457</v>
      </c>
      <c r="K71" s="26">
        <f t="shared" si="55"/>
        <v>122806390.70177123</v>
      </c>
      <c r="L71" s="26">
        <f t="shared" si="55"/>
        <v>122164528.01510268</v>
      </c>
      <c r="M71" s="26">
        <f t="shared" si="55"/>
        <v>121419712.76986277</v>
      </c>
      <c r="N71" s="26">
        <f t="shared" si="55"/>
        <v>120573508.24129325</v>
      </c>
      <c r="O71" s="26">
        <f t="shared" si="55"/>
        <v>119627513.08911699</v>
      </c>
      <c r="P71" s="26">
        <f t="shared" si="55"/>
        <v>118583357.69938433</v>
      </c>
      <c r="Q71" s="26">
        <f t="shared" si="55"/>
        <v>117442700.70328943</v>
      </c>
      <c r="R71" s="26">
        <f t="shared" si="55"/>
        <v>116207225.66612759</v>
      </c>
      <c r="S71" s="34" t="s">
        <v>22</v>
      </c>
    </row>
    <row r="72" spans="1:19" x14ac:dyDescent="0.2">
      <c r="A72" s="22" t="s">
        <v>25</v>
      </c>
      <c r="J72" s="23"/>
      <c r="K72" s="23"/>
      <c r="L72" s="23"/>
      <c r="M72" s="23"/>
      <c r="N72" s="23"/>
      <c r="O72" s="23"/>
      <c r="P72" s="23"/>
      <c r="Q72" s="23"/>
      <c r="S72" s="26">
        <f>SUM(I71:R71)</f>
        <v>1160969283.5145862</v>
      </c>
    </row>
    <row r="73" spans="1:19" x14ac:dyDescent="0.2">
      <c r="A73" s="23" t="s">
        <v>81</v>
      </c>
      <c r="B73" s="23"/>
      <c r="C73" s="23"/>
      <c r="D73" s="23"/>
      <c r="E73" s="23"/>
      <c r="F73" s="23">
        <v>0</v>
      </c>
      <c r="G73" s="23"/>
      <c r="H73" s="23"/>
      <c r="I73" s="27">
        <f>F73/20</f>
        <v>0</v>
      </c>
      <c r="J73" s="27">
        <f>I73</f>
        <v>0</v>
      </c>
      <c r="K73" s="27">
        <f t="shared" ref="K73:R73" si="56">J73</f>
        <v>0</v>
      </c>
      <c r="L73" s="27">
        <f t="shared" si="56"/>
        <v>0</v>
      </c>
      <c r="M73" s="27">
        <f t="shared" si="56"/>
        <v>0</v>
      </c>
      <c r="N73" s="27">
        <f t="shared" si="56"/>
        <v>0</v>
      </c>
      <c r="O73" s="27">
        <f t="shared" si="56"/>
        <v>0</v>
      </c>
      <c r="P73" s="27">
        <f t="shared" si="56"/>
        <v>0</v>
      </c>
      <c r="Q73" s="27">
        <f t="shared" si="56"/>
        <v>0</v>
      </c>
      <c r="R73" s="27">
        <f t="shared" si="56"/>
        <v>0</v>
      </c>
      <c r="S73" s="23"/>
    </row>
    <row r="74" spans="1:19" x14ac:dyDescent="0.2">
      <c r="A74" s="22" t="s">
        <v>24</v>
      </c>
      <c r="B74" s="23"/>
      <c r="C74" s="23"/>
      <c r="D74" s="23"/>
      <c r="E74" s="23"/>
      <c r="F74" s="23"/>
      <c r="G74" s="23"/>
      <c r="H74" s="23"/>
      <c r="I74" s="28">
        <f>SUM(I73+I71)</f>
        <v>78800569.847333297</v>
      </c>
      <c r="J74" s="28">
        <f t="shared" ref="J74:R74" si="57">SUM(J73+J71)</f>
        <v>123343776.78130457</v>
      </c>
      <c r="K74" s="28">
        <f t="shared" si="57"/>
        <v>122806390.70177123</v>
      </c>
      <c r="L74" s="28">
        <f t="shared" si="57"/>
        <v>122164528.01510268</v>
      </c>
      <c r="M74" s="28">
        <f t="shared" si="57"/>
        <v>121419712.76986277</v>
      </c>
      <c r="N74" s="28">
        <f t="shared" si="57"/>
        <v>120573508.24129325</v>
      </c>
      <c r="O74" s="28">
        <f t="shared" si="57"/>
        <v>119627513.08911699</v>
      </c>
      <c r="P74" s="28">
        <f t="shared" si="57"/>
        <v>118583357.69938433</v>
      </c>
      <c r="Q74" s="28">
        <f t="shared" si="57"/>
        <v>117442700.70328943</v>
      </c>
      <c r="R74" s="28">
        <f t="shared" si="57"/>
        <v>116207225.66612759</v>
      </c>
    </row>
    <row r="75" spans="1:19" x14ac:dyDescent="0.2">
      <c r="A75" s="15" t="s">
        <v>26</v>
      </c>
      <c r="S75" s="26">
        <f>SUM(I74:R74)</f>
        <v>1160969283.5145862</v>
      </c>
    </row>
    <row r="76" spans="1:19" x14ac:dyDescent="0.2">
      <c r="A76" s="15"/>
      <c r="R76" s="26"/>
    </row>
    <row r="77" spans="1:19" x14ac:dyDescent="0.2">
      <c r="A77" s="22" t="s">
        <v>29</v>
      </c>
      <c r="B77" s="22"/>
      <c r="C77" s="22"/>
      <c r="D77" s="23"/>
      <c r="E77" s="23"/>
      <c r="F77" s="23"/>
      <c r="G77" s="23"/>
      <c r="H77" s="23" t="s">
        <v>28</v>
      </c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</row>
    <row r="78" spans="1:19" x14ac:dyDescent="0.2">
      <c r="A78" s="23" t="s">
        <v>19</v>
      </c>
      <c r="B78" s="23"/>
      <c r="C78" s="23"/>
      <c r="D78" s="23"/>
      <c r="E78" s="23"/>
      <c r="F78" s="23"/>
      <c r="G78" s="23"/>
      <c r="H78" s="24">
        <f>H57</f>
        <v>47.643125769627581</v>
      </c>
      <c r="I78" s="24">
        <f t="shared" ref="I78:R78" si="58">I15*($H$57*(1+0.02*(I2-2022)))</f>
        <v>30443560.01298666</v>
      </c>
      <c r="J78" s="24">
        <f t="shared" si="58"/>
        <v>31203948.070879508</v>
      </c>
      <c r="K78" s="24">
        <f t="shared" si="58"/>
        <v>31966896.838885136</v>
      </c>
      <c r="L78" s="24">
        <f t="shared" si="58"/>
        <v>32732264.858390987</v>
      </c>
      <c r="M78" s="24">
        <f t="shared" si="58"/>
        <v>33499915.81110758</v>
      </c>
      <c r="N78" s="24">
        <f t="shared" si="58"/>
        <v>34269718.357723519</v>
      </c>
      <c r="O78" s="24">
        <f t="shared" si="58"/>
        <v>35041545.98125679</v>
      </c>
      <c r="P78" s="24">
        <f t="shared" si="58"/>
        <v>35815276.834971808</v>
      </c>
      <c r="Q78" s="24">
        <f t="shared" si="58"/>
        <v>36590793.594735138</v>
      </c>
      <c r="R78" s="24">
        <f t="shared" si="58"/>
        <v>37367983.31568642</v>
      </c>
      <c r="S78" s="23"/>
    </row>
    <row r="79" spans="1:19" x14ac:dyDescent="0.2">
      <c r="A79" s="23" t="s">
        <v>74</v>
      </c>
      <c r="B79" s="23"/>
      <c r="C79" s="23"/>
      <c r="D79" s="23"/>
      <c r="E79" s="23"/>
      <c r="F79" s="23"/>
      <c r="G79" s="23"/>
      <c r="H79" s="24">
        <f>H58</f>
        <v>78.280771161677052</v>
      </c>
      <c r="I79" s="24">
        <f>I16*($H$58*(1+0.05*(I2-2022)))</f>
        <v>24462740.988024082</v>
      </c>
      <c r="J79" s="24">
        <f t="shared" ref="J79:R79" si="59">J16*($H$58*(1+0.05*(J2-2022)))</f>
        <v>0</v>
      </c>
      <c r="K79" s="24">
        <f t="shared" si="59"/>
        <v>0</v>
      </c>
      <c r="L79" s="24">
        <f t="shared" si="59"/>
        <v>0</v>
      </c>
      <c r="M79" s="24">
        <f t="shared" si="59"/>
        <v>0</v>
      </c>
      <c r="N79" s="24">
        <f t="shared" si="59"/>
        <v>0</v>
      </c>
      <c r="O79" s="24">
        <f t="shared" si="59"/>
        <v>0</v>
      </c>
      <c r="P79" s="24">
        <f t="shared" si="59"/>
        <v>0</v>
      </c>
      <c r="Q79" s="24">
        <f t="shared" si="59"/>
        <v>0</v>
      </c>
      <c r="R79" s="24">
        <f t="shared" si="59"/>
        <v>0</v>
      </c>
      <c r="S79" s="23"/>
    </row>
    <row r="80" spans="1:19" x14ac:dyDescent="0.2">
      <c r="A80" s="23" t="s">
        <v>20</v>
      </c>
      <c r="B80" s="23"/>
      <c r="C80" s="23"/>
      <c r="D80" s="23"/>
      <c r="E80" s="23"/>
      <c r="F80" s="23"/>
      <c r="G80" s="23"/>
      <c r="H80" s="24">
        <f>H59</f>
        <v>117.41999999999999</v>
      </c>
      <c r="I80" s="24">
        <f t="shared" ref="I80:R80" si="60">I17*($H$59*(1+0.02*(I2-2022)))</f>
        <v>5986411.8659972344</v>
      </c>
      <c r="J80" s="24">
        <f t="shared" si="60"/>
        <v>59050005.416187815</v>
      </c>
      <c r="K80" s="24">
        <f t="shared" si="60"/>
        <v>57906793.244934581</v>
      </c>
      <c r="L80" s="24">
        <f t="shared" si="60"/>
        <v>56689562.924935549</v>
      </c>
      <c r="M80" s="24">
        <f t="shared" si="60"/>
        <v>55399525.851921894</v>
      </c>
      <c r="N80" s="24">
        <f t="shared" si="60"/>
        <v>54037913.994067825</v>
      </c>
      <c r="O80" s="24">
        <f t="shared" si="60"/>
        <v>52605977.458787881</v>
      </c>
      <c r="P80" s="24">
        <f t="shared" si="60"/>
        <v>51104982.179850571</v>
      </c>
      <c r="Q80" s="24">
        <f t="shared" si="60"/>
        <v>49536207.720121376</v>
      </c>
      <c r="R80" s="24">
        <f t="shared" si="60"/>
        <v>47900945.185411252</v>
      </c>
      <c r="S80" s="23"/>
    </row>
    <row r="81" spans="1:19" x14ac:dyDescent="0.2">
      <c r="A81" s="22" t="s">
        <v>21</v>
      </c>
      <c r="B81" s="22"/>
      <c r="C81" s="22"/>
      <c r="D81" s="22"/>
      <c r="E81" s="22"/>
      <c r="F81" s="22"/>
      <c r="G81" s="22"/>
      <c r="H81" s="22"/>
      <c r="I81" s="26">
        <f>SUM(I78:I80)</f>
        <v>60892712.867007978</v>
      </c>
      <c r="J81" s="26">
        <f t="shared" ref="J81:R81" si="61">SUM(J78:J80)</f>
        <v>90253953.487067327</v>
      </c>
      <c r="K81" s="26">
        <f t="shared" si="61"/>
        <v>89873690.083819717</v>
      </c>
      <c r="L81" s="26">
        <f t="shared" si="61"/>
        <v>89421827.783326536</v>
      </c>
      <c r="M81" s="26">
        <f t="shared" si="61"/>
        <v>88899441.663029477</v>
      </c>
      <c r="N81" s="26">
        <f t="shared" si="61"/>
        <v>88307632.351791352</v>
      </c>
      <c r="O81" s="26">
        <f t="shared" si="61"/>
        <v>87647523.440044671</v>
      </c>
      <c r="P81" s="26">
        <f t="shared" si="61"/>
        <v>86920259.014822379</v>
      </c>
      <c r="Q81" s="26">
        <f t="shared" si="61"/>
        <v>86127001.314856514</v>
      </c>
      <c r="R81" s="26">
        <f t="shared" si="61"/>
        <v>85268928.501097679</v>
      </c>
      <c r="S81" s="34" t="s">
        <v>22</v>
      </c>
    </row>
    <row r="82" spans="1:19" x14ac:dyDescent="0.2">
      <c r="A82" s="22" t="s">
        <v>25</v>
      </c>
      <c r="J82" s="23"/>
      <c r="K82" s="23"/>
      <c r="L82" s="23"/>
      <c r="M82" s="23"/>
      <c r="N82" s="23"/>
      <c r="O82" s="23"/>
      <c r="P82" s="23"/>
      <c r="Q82" s="23"/>
      <c r="S82" s="26">
        <f>SUM(I81:R81)</f>
        <v>853612970.50686359</v>
      </c>
    </row>
    <row r="83" spans="1:19" x14ac:dyDescent="0.2">
      <c r="A83" s="23" t="s">
        <v>81</v>
      </c>
      <c r="B83" s="23"/>
      <c r="C83" s="23"/>
      <c r="D83" s="23"/>
      <c r="E83" s="23"/>
      <c r="F83" s="23">
        <v>0</v>
      </c>
      <c r="G83" s="23"/>
      <c r="H83" s="23"/>
      <c r="I83" s="27">
        <f>F83/20</f>
        <v>0</v>
      </c>
      <c r="J83" s="27">
        <f>I83</f>
        <v>0</v>
      </c>
      <c r="K83" s="27">
        <f t="shared" ref="K83:R83" si="62">J83</f>
        <v>0</v>
      </c>
      <c r="L83" s="27">
        <f t="shared" si="62"/>
        <v>0</v>
      </c>
      <c r="M83" s="27">
        <f t="shared" si="62"/>
        <v>0</v>
      </c>
      <c r="N83" s="27">
        <f t="shared" si="62"/>
        <v>0</v>
      </c>
      <c r="O83" s="27">
        <f t="shared" si="62"/>
        <v>0</v>
      </c>
      <c r="P83" s="27">
        <f t="shared" si="62"/>
        <v>0</v>
      </c>
      <c r="Q83" s="27">
        <f t="shared" si="62"/>
        <v>0</v>
      </c>
      <c r="R83" s="27">
        <f t="shared" si="62"/>
        <v>0</v>
      </c>
      <c r="S83" s="23"/>
    </row>
    <row r="84" spans="1:19" x14ac:dyDescent="0.2">
      <c r="A84" s="22" t="s">
        <v>24</v>
      </c>
      <c r="B84" s="23"/>
      <c r="C84" s="23"/>
      <c r="D84" s="23"/>
      <c r="E84" s="23"/>
      <c r="F84" s="23"/>
      <c r="G84" s="23"/>
      <c r="H84" s="23"/>
      <c r="I84" s="28">
        <f>SUM(I83+I81)</f>
        <v>60892712.867007978</v>
      </c>
      <c r="J84" s="28">
        <f t="shared" ref="J84:R84" si="63">SUM(J83+J81)</f>
        <v>90253953.487067327</v>
      </c>
      <c r="K84" s="28">
        <f t="shared" si="63"/>
        <v>89873690.083819717</v>
      </c>
      <c r="L84" s="28">
        <f t="shared" si="63"/>
        <v>89421827.783326536</v>
      </c>
      <c r="M84" s="28">
        <f t="shared" si="63"/>
        <v>88899441.663029477</v>
      </c>
      <c r="N84" s="28">
        <f t="shared" si="63"/>
        <v>88307632.351791352</v>
      </c>
      <c r="O84" s="28">
        <f t="shared" si="63"/>
        <v>87647523.440044671</v>
      </c>
      <c r="P84" s="28">
        <f t="shared" si="63"/>
        <v>86920259.014822379</v>
      </c>
      <c r="Q84" s="28">
        <f t="shared" si="63"/>
        <v>86127001.314856514</v>
      </c>
      <c r="R84" s="28">
        <f t="shared" si="63"/>
        <v>85268928.501097679</v>
      </c>
    </row>
    <row r="85" spans="1:19" x14ac:dyDescent="0.2">
      <c r="A85" s="15" t="s">
        <v>26</v>
      </c>
      <c r="S85" s="26">
        <f>SUM(I84:R84)</f>
        <v>853612970.50686359</v>
      </c>
    </row>
    <row r="86" spans="1:19" s="41" customFormat="1" x14ac:dyDescent="0.2"/>
    <row r="87" spans="1:19" x14ac:dyDescent="0.2">
      <c r="A87" s="15" t="s">
        <v>15</v>
      </c>
    </row>
    <row r="88" spans="1:19" x14ac:dyDescent="0.2">
      <c r="A88" s="22" t="s">
        <v>33</v>
      </c>
      <c r="B88" s="22"/>
      <c r="C88" s="22"/>
      <c r="D88" s="23"/>
      <c r="E88" s="23"/>
      <c r="F88" s="23"/>
      <c r="G88" s="23"/>
      <c r="H88" s="23" t="s">
        <v>18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</row>
    <row r="89" spans="1:19" x14ac:dyDescent="0.2">
      <c r="A89" s="23" t="s">
        <v>19</v>
      </c>
      <c r="B89" s="23"/>
      <c r="C89" s="23"/>
      <c r="D89" s="23"/>
      <c r="E89" s="23"/>
      <c r="F89" s="23"/>
      <c r="G89" s="23"/>
      <c r="H89" s="24">
        <f>H48</f>
        <v>64</v>
      </c>
      <c r="I89" s="24">
        <f t="shared" ref="I89:R89" si="64">I25*($H$89*(1+0.02*(I2-2024)))</f>
        <v>39408358.363605917</v>
      </c>
      <c r="J89" s="24">
        <f t="shared" si="64"/>
        <v>40619435.803194925</v>
      </c>
      <c r="K89" s="24">
        <f t="shared" si="64"/>
        <v>41828781.674235038</v>
      </c>
      <c r="L89" s="24">
        <f t="shared" si="64"/>
        <v>43036132.778306827</v>
      </c>
      <c r="M89" s="24">
        <f t="shared" si="64"/>
        <v>44241249.743374102</v>
      </c>
      <c r="N89" s="24">
        <f t="shared" si="64"/>
        <v>45443915.538790695</v>
      </c>
      <c r="O89" s="24">
        <f t="shared" si="64"/>
        <v>46643934.070984565</v>
      </c>
      <c r="P89" s="24">
        <f t="shared" si="64"/>
        <v>47841128.855740875</v>
      </c>
      <c r="Q89" s="24">
        <f t="shared" si="64"/>
        <v>49035341.763203092</v>
      </c>
      <c r="R89" s="24">
        <f t="shared" si="64"/>
        <v>50226431.831899151</v>
      </c>
      <c r="S89" s="23"/>
    </row>
    <row r="90" spans="1:19" x14ac:dyDescent="0.2">
      <c r="A90" s="23" t="s">
        <v>74</v>
      </c>
      <c r="B90" s="23"/>
      <c r="C90" s="23"/>
      <c r="D90" s="23"/>
      <c r="E90" s="23"/>
      <c r="F90" s="23"/>
      <c r="G90" s="23"/>
      <c r="H90" s="24">
        <f>H49</f>
        <v>107.23583695223056</v>
      </c>
      <c r="I90" s="24">
        <f>I26*($H$90*(1+0.05*(I2-2024)))</f>
        <v>30830303.123766281</v>
      </c>
      <c r="J90" s="24">
        <f t="shared" ref="J90:R90" si="65">J26*($H$90*(1+0.05*(J2-2024)))</f>
        <v>0</v>
      </c>
      <c r="K90" s="24">
        <f t="shared" si="65"/>
        <v>0</v>
      </c>
      <c r="L90" s="24">
        <f t="shared" si="65"/>
        <v>0</v>
      </c>
      <c r="M90" s="24">
        <f t="shared" si="65"/>
        <v>0</v>
      </c>
      <c r="N90" s="24">
        <f t="shared" si="65"/>
        <v>0</v>
      </c>
      <c r="O90" s="24">
        <f t="shared" si="65"/>
        <v>0</v>
      </c>
      <c r="P90" s="24">
        <f t="shared" si="65"/>
        <v>0</v>
      </c>
      <c r="Q90" s="24">
        <f t="shared" si="65"/>
        <v>0</v>
      </c>
      <c r="R90" s="24">
        <f t="shared" si="65"/>
        <v>0</v>
      </c>
      <c r="S90" s="23"/>
    </row>
    <row r="91" spans="1:19" x14ac:dyDescent="0.2">
      <c r="A91" s="23" t="s">
        <v>20</v>
      </c>
      <c r="B91" s="23"/>
      <c r="C91" s="23"/>
      <c r="D91" s="23"/>
      <c r="E91" s="23"/>
      <c r="F91" s="23"/>
      <c r="G91" s="23"/>
      <c r="H91" s="24">
        <f>H50</f>
        <v>171</v>
      </c>
      <c r="I91" s="24">
        <f t="shared" ref="I91:R91" si="66">I27*($H$91*(1+0.02*(I2-2024)))</f>
        <v>8401054.6045327485</v>
      </c>
      <c r="J91" s="24">
        <f t="shared" si="66"/>
        <v>48461426.700014822</v>
      </c>
      <c r="K91" s="24">
        <f t="shared" si="66"/>
        <v>43113291.402144343</v>
      </c>
      <c r="L91" s="24">
        <f t="shared" si="66"/>
        <v>37678318.34297052</v>
      </c>
      <c r="M91" s="24">
        <f t="shared" si="66"/>
        <v>32162956.183170751</v>
      </c>
      <c r="N91" s="24">
        <f t="shared" si="66"/>
        <v>26573433.098854471</v>
      </c>
      <c r="O91" s="24">
        <f t="shared" si="66"/>
        <v>20915757.843756776</v>
      </c>
      <c r="P91" s="24">
        <f t="shared" si="66"/>
        <v>15195721.329580359</v>
      </c>
      <c r="Q91" s="24">
        <f t="shared" si="66"/>
        <v>9418898.6713208333</v>
      </c>
      <c r="R91" s="24">
        <f t="shared" si="66"/>
        <v>3590651.6482342295</v>
      </c>
      <c r="S91" s="23" t="s">
        <v>35</v>
      </c>
    </row>
    <row r="92" spans="1:19" x14ac:dyDescent="0.2">
      <c r="A92" s="22" t="s">
        <v>21</v>
      </c>
      <c r="B92" s="22"/>
      <c r="C92" s="22"/>
      <c r="D92" s="22"/>
      <c r="E92" s="22"/>
      <c r="F92" s="22"/>
      <c r="G92" s="22"/>
      <c r="H92" s="22"/>
      <c r="I92" s="26">
        <f>SUM(I89:I91)</f>
        <v>78639716.091904938</v>
      </c>
      <c r="J92" s="26">
        <f t="shared" ref="J92:R92" si="67">SUM(J89:J91)</f>
        <v>89080862.50320974</v>
      </c>
      <c r="K92" s="26">
        <f t="shared" si="67"/>
        <v>84942073.076379389</v>
      </c>
      <c r="L92" s="26">
        <f t="shared" si="67"/>
        <v>80714451.121277347</v>
      </c>
      <c r="M92" s="26">
        <f t="shared" si="67"/>
        <v>76404205.926544845</v>
      </c>
      <c r="N92" s="26">
        <f t="shared" si="67"/>
        <v>72017348.63764517</v>
      </c>
      <c r="O92" s="26">
        <f t="shared" si="67"/>
        <v>67559691.914741337</v>
      </c>
      <c r="P92" s="26">
        <f t="shared" si="67"/>
        <v>63036850.185321234</v>
      </c>
      <c r="Q92" s="26">
        <f t="shared" si="67"/>
        <v>58454240.434523925</v>
      </c>
      <c r="R92" s="26">
        <f t="shared" si="67"/>
        <v>53817083.480133384</v>
      </c>
      <c r="S92" s="34" t="s">
        <v>22</v>
      </c>
    </row>
    <row r="93" spans="1:19" x14ac:dyDescent="0.2">
      <c r="A93" s="22" t="s">
        <v>25</v>
      </c>
      <c r="J93" s="23"/>
      <c r="K93" s="23"/>
      <c r="L93" s="23"/>
      <c r="M93" s="23"/>
      <c r="N93" s="23"/>
      <c r="O93" s="23"/>
      <c r="P93" s="23"/>
      <c r="Q93" s="23"/>
      <c r="S93" s="26">
        <f>SUM(I92:R92)</f>
        <v>724666523.37168133</v>
      </c>
    </row>
    <row r="94" spans="1:19" x14ac:dyDescent="0.2">
      <c r="A94" s="23" t="s">
        <v>81</v>
      </c>
      <c r="B94" s="23"/>
      <c r="C94" s="23"/>
      <c r="D94" s="23"/>
      <c r="E94" s="23"/>
      <c r="F94" s="23">
        <v>0</v>
      </c>
      <c r="G94" s="23"/>
      <c r="H94" s="23"/>
      <c r="I94" s="27">
        <f>F94/20</f>
        <v>0</v>
      </c>
      <c r="J94" s="27">
        <f>I94</f>
        <v>0</v>
      </c>
      <c r="K94" s="27">
        <f t="shared" ref="K94:R94" si="68">J94</f>
        <v>0</v>
      </c>
      <c r="L94" s="27">
        <f t="shared" si="68"/>
        <v>0</v>
      </c>
      <c r="M94" s="27">
        <f t="shared" si="68"/>
        <v>0</v>
      </c>
      <c r="N94" s="27">
        <f t="shared" si="68"/>
        <v>0</v>
      </c>
      <c r="O94" s="27">
        <f t="shared" si="68"/>
        <v>0</v>
      </c>
      <c r="P94" s="27">
        <f t="shared" si="68"/>
        <v>0</v>
      </c>
      <c r="Q94" s="27">
        <f t="shared" si="68"/>
        <v>0</v>
      </c>
      <c r="R94" s="27">
        <f t="shared" si="68"/>
        <v>0</v>
      </c>
      <c r="S94" s="23"/>
    </row>
    <row r="95" spans="1:19" x14ac:dyDescent="0.2">
      <c r="A95" s="22" t="s">
        <v>24</v>
      </c>
      <c r="B95" s="23"/>
      <c r="C95" s="23"/>
      <c r="D95" s="23"/>
      <c r="E95" s="23"/>
      <c r="F95" s="23"/>
      <c r="G95" s="23"/>
      <c r="H95" s="23"/>
      <c r="I95" s="28">
        <f>SUM(I94+I92)</f>
        <v>78639716.091904938</v>
      </c>
      <c r="J95" s="28">
        <f t="shared" ref="J95:R95" si="69">SUM(J94+J92)</f>
        <v>89080862.50320974</v>
      </c>
      <c r="K95" s="28">
        <f t="shared" si="69"/>
        <v>84942073.076379389</v>
      </c>
      <c r="L95" s="28">
        <f t="shared" si="69"/>
        <v>80714451.121277347</v>
      </c>
      <c r="M95" s="28">
        <f t="shared" si="69"/>
        <v>76404205.926544845</v>
      </c>
      <c r="N95" s="28">
        <f t="shared" si="69"/>
        <v>72017348.63764517</v>
      </c>
      <c r="O95" s="28">
        <f t="shared" si="69"/>
        <v>67559691.914741337</v>
      </c>
      <c r="P95" s="28">
        <f t="shared" si="69"/>
        <v>63036850.185321234</v>
      </c>
      <c r="Q95" s="28">
        <f t="shared" si="69"/>
        <v>58454240.434523925</v>
      </c>
      <c r="R95" s="28">
        <f t="shared" si="69"/>
        <v>53817083.480133384</v>
      </c>
    </row>
    <row r="96" spans="1:19" x14ac:dyDescent="0.2">
      <c r="A96" s="15" t="s">
        <v>26</v>
      </c>
      <c r="S96" s="26">
        <f>SUM(I95:R95)</f>
        <v>724666523.37168133</v>
      </c>
    </row>
    <row r="97" spans="1:19" x14ac:dyDescent="0.2">
      <c r="A97" s="15"/>
      <c r="R97" s="26"/>
    </row>
    <row r="98" spans="1:19" x14ac:dyDescent="0.2">
      <c r="A98" s="22" t="s">
        <v>34</v>
      </c>
      <c r="B98" s="22"/>
      <c r="C98" s="22"/>
      <c r="D98" s="23"/>
      <c r="E98" s="23"/>
      <c r="F98" s="23"/>
      <c r="G98" s="23"/>
      <c r="H98" s="23" t="s">
        <v>28</v>
      </c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</row>
    <row r="99" spans="1:19" x14ac:dyDescent="0.2">
      <c r="A99" s="23" t="s">
        <v>19</v>
      </c>
      <c r="B99" s="23"/>
      <c r="C99" s="23"/>
      <c r="D99" s="23"/>
      <c r="E99" s="23"/>
      <c r="F99" s="23"/>
      <c r="G99" s="23"/>
      <c r="H99" s="24">
        <f>H78</f>
        <v>47.643125769627581</v>
      </c>
      <c r="I99" s="24">
        <f t="shared" ref="I99:R99" si="70">I25*($H$57*(1+0.02*(I2-2022)))</f>
        <v>30443560.01298666</v>
      </c>
      <c r="J99" s="24">
        <f t="shared" si="70"/>
        <v>31358005.140371535</v>
      </c>
      <c r="K99" s="24">
        <f t="shared" si="70"/>
        <v>32270645.63848431</v>
      </c>
      <c r="L99" s="24">
        <f t="shared" si="70"/>
        <v>33181306.200481392</v>
      </c>
      <c r="M99" s="24">
        <f t="shared" si="70"/>
        <v>34089828.431473546</v>
      </c>
      <c r="N99" s="24">
        <f t="shared" si="70"/>
        <v>34996069.776060425</v>
      </c>
      <c r="O99" s="24">
        <f t="shared" si="70"/>
        <v>35899902.504603341</v>
      </c>
      <c r="P99" s="24">
        <f t="shared" si="70"/>
        <v>36801212.75525295</v>
      </c>
      <c r="Q99" s="24">
        <f t="shared" si="70"/>
        <v>37699899.628893517</v>
      </c>
      <c r="R99" s="24">
        <f t="shared" si="70"/>
        <v>38595874.334303185</v>
      </c>
      <c r="S99" s="23"/>
    </row>
    <row r="100" spans="1:19" x14ac:dyDescent="0.2">
      <c r="A100" s="23" t="s">
        <v>74</v>
      </c>
      <c r="B100" s="23"/>
      <c r="C100" s="23"/>
      <c r="D100" s="23"/>
      <c r="E100" s="23"/>
      <c r="F100" s="23"/>
      <c r="G100" s="23"/>
      <c r="H100" s="24">
        <f>H79</f>
        <v>78.280771161677052</v>
      </c>
      <c r="I100" s="24">
        <f>I26*($H$58*(1+0.05*(I2-2022)))</f>
        <v>24462740.988024082</v>
      </c>
      <c r="J100" s="24">
        <f t="shared" ref="J100:R100" si="71">J26*($H$58*(1+0.05*(J2-2022)))</f>
        <v>0</v>
      </c>
      <c r="K100" s="24">
        <f t="shared" si="71"/>
        <v>0</v>
      </c>
      <c r="L100" s="24">
        <f t="shared" si="71"/>
        <v>0</v>
      </c>
      <c r="M100" s="24">
        <f t="shared" si="71"/>
        <v>0</v>
      </c>
      <c r="N100" s="24">
        <f t="shared" si="71"/>
        <v>0</v>
      </c>
      <c r="O100" s="24">
        <f t="shared" si="71"/>
        <v>0</v>
      </c>
      <c r="P100" s="24">
        <f t="shared" si="71"/>
        <v>0</v>
      </c>
      <c r="Q100" s="24">
        <f t="shared" si="71"/>
        <v>0</v>
      </c>
      <c r="R100" s="24">
        <f t="shared" si="71"/>
        <v>0</v>
      </c>
      <c r="S100" s="23"/>
    </row>
    <row r="101" spans="1:19" x14ac:dyDescent="0.2">
      <c r="A101" s="23" t="s">
        <v>20</v>
      </c>
      <c r="B101" s="23"/>
      <c r="C101" s="23"/>
      <c r="D101" s="23"/>
      <c r="E101" s="23"/>
      <c r="F101" s="23"/>
      <c r="G101" s="23"/>
      <c r="H101" s="24">
        <f>H80</f>
        <v>117.41999999999999</v>
      </c>
      <c r="I101" s="24">
        <f t="shared" ref="I101:R101" si="72">I27*($H$59*(1+0.02*(I2-2022)))</f>
        <v>5986411.8659972344</v>
      </c>
      <c r="J101" s="24">
        <f t="shared" si="72"/>
        <v>34509322.124158703</v>
      </c>
      <c r="K101" s="24">
        <f t="shared" si="72"/>
        <v>30680985.9178169</v>
      </c>
      <c r="L101" s="24">
        <f t="shared" si="72"/>
        <v>26796461.164393552</v>
      </c>
      <c r="M101" s="24">
        <f t="shared" si="72"/>
        <v>22860150.260248959</v>
      </c>
      <c r="N101" s="24">
        <f t="shared" si="72"/>
        <v>18876300.752979379</v>
      </c>
      <c r="O101" s="24">
        <f t="shared" si="72"/>
        <v>14849006.3878332</v>
      </c>
      <c r="P101" s="24">
        <f t="shared" si="72"/>
        <v>10782208.490077797</v>
      </c>
      <c r="Q101" s="24">
        <f t="shared" si="72"/>
        <v>6679697.6478908071</v>
      </c>
      <c r="R101" s="24">
        <f t="shared" si="72"/>
        <v>2545115.6629204345</v>
      </c>
      <c r="S101" s="23" t="s">
        <v>36</v>
      </c>
    </row>
    <row r="102" spans="1:19" x14ac:dyDescent="0.2">
      <c r="A102" s="22" t="s">
        <v>21</v>
      </c>
      <c r="B102" s="22"/>
      <c r="C102" s="22"/>
      <c r="D102" s="22"/>
      <c r="E102" s="22"/>
      <c r="F102" s="22"/>
      <c r="G102" s="22"/>
      <c r="H102" s="22"/>
      <c r="I102" s="26">
        <f>SUM(I99:I101)</f>
        <v>60892712.867007978</v>
      </c>
      <c r="J102" s="26">
        <f t="shared" ref="J102:R102" si="73">SUM(J99:J101)</f>
        <v>65867327.264530241</v>
      </c>
      <c r="K102" s="26">
        <f t="shared" si="73"/>
        <v>62951631.556301206</v>
      </c>
      <c r="L102" s="26">
        <f t="shared" si="73"/>
        <v>59977767.364874944</v>
      </c>
      <c r="M102" s="26">
        <f t="shared" si="73"/>
        <v>56949978.691722505</v>
      </c>
      <c r="N102" s="26">
        <f t="shared" si="73"/>
        <v>53872370.5290398</v>
      </c>
      <c r="O102" s="26">
        <f t="shared" si="73"/>
        <v>50748908.892436542</v>
      </c>
      <c r="P102" s="26">
        <f t="shared" si="73"/>
        <v>47583421.245330751</v>
      </c>
      <c r="Q102" s="26">
        <f t="shared" si="73"/>
        <v>44379597.276784323</v>
      </c>
      <c r="R102" s="26">
        <f t="shared" si="73"/>
        <v>41140989.997223623</v>
      </c>
      <c r="S102" s="34" t="s">
        <v>22</v>
      </c>
    </row>
    <row r="103" spans="1:19" x14ac:dyDescent="0.2">
      <c r="A103" s="22" t="s">
        <v>25</v>
      </c>
      <c r="J103" s="23"/>
      <c r="K103" s="23"/>
      <c r="L103" s="23"/>
      <c r="M103" s="23"/>
      <c r="N103" s="23"/>
      <c r="O103" s="23"/>
      <c r="P103" s="23"/>
      <c r="Q103" s="23"/>
      <c r="S103" s="26">
        <f>SUM(I102:R102)</f>
        <v>544364705.68525195</v>
      </c>
    </row>
    <row r="104" spans="1:19" x14ac:dyDescent="0.2">
      <c r="A104" s="23" t="s">
        <v>81</v>
      </c>
      <c r="B104" s="23"/>
      <c r="C104" s="23"/>
      <c r="D104" s="23"/>
      <c r="E104" s="23"/>
      <c r="F104" s="23">
        <v>0</v>
      </c>
      <c r="G104" s="23"/>
      <c r="H104" s="23"/>
      <c r="I104" s="27">
        <f>F104/20</f>
        <v>0</v>
      </c>
      <c r="J104" s="27">
        <f>I104</f>
        <v>0</v>
      </c>
      <c r="K104" s="27">
        <f t="shared" ref="K104:R104" si="74">J104</f>
        <v>0</v>
      </c>
      <c r="L104" s="27">
        <f t="shared" si="74"/>
        <v>0</v>
      </c>
      <c r="M104" s="27">
        <f t="shared" si="74"/>
        <v>0</v>
      </c>
      <c r="N104" s="27">
        <f t="shared" si="74"/>
        <v>0</v>
      </c>
      <c r="O104" s="27">
        <f t="shared" si="74"/>
        <v>0</v>
      </c>
      <c r="P104" s="27">
        <f t="shared" si="74"/>
        <v>0</v>
      </c>
      <c r="Q104" s="27">
        <f t="shared" si="74"/>
        <v>0</v>
      </c>
      <c r="R104" s="27">
        <f t="shared" si="74"/>
        <v>0</v>
      </c>
      <c r="S104" s="23"/>
    </row>
    <row r="105" spans="1:19" x14ac:dyDescent="0.2">
      <c r="A105" s="22" t="s">
        <v>24</v>
      </c>
      <c r="B105" s="23"/>
      <c r="C105" s="23"/>
      <c r="D105" s="23"/>
      <c r="E105" s="23"/>
      <c r="F105" s="23"/>
      <c r="G105" s="23"/>
      <c r="H105" s="23"/>
      <c r="I105" s="28">
        <f>SUM(I104+I102)</f>
        <v>60892712.867007978</v>
      </c>
      <c r="J105" s="28">
        <f t="shared" ref="J105:R105" si="75">SUM(J104+J102)</f>
        <v>65867327.264530241</v>
      </c>
      <c r="K105" s="28">
        <f t="shared" si="75"/>
        <v>62951631.556301206</v>
      </c>
      <c r="L105" s="28">
        <f t="shared" si="75"/>
        <v>59977767.364874944</v>
      </c>
      <c r="M105" s="28">
        <f t="shared" si="75"/>
        <v>56949978.691722505</v>
      </c>
      <c r="N105" s="28">
        <f t="shared" si="75"/>
        <v>53872370.5290398</v>
      </c>
      <c r="O105" s="28">
        <f t="shared" si="75"/>
        <v>50748908.892436542</v>
      </c>
      <c r="P105" s="28">
        <f t="shared" si="75"/>
        <v>47583421.245330751</v>
      </c>
      <c r="Q105" s="28">
        <f t="shared" si="75"/>
        <v>44379597.276784323</v>
      </c>
      <c r="R105" s="28">
        <f t="shared" si="75"/>
        <v>41140989.997223623</v>
      </c>
    </row>
    <row r="106" spans="1:19" x14ac:dyDescent="0.2">
      <c r="A106" s="15" t="s">
        <v>26</v>
      </c>
      <c r="S106" s="26">
        <f>SUM(I105:R105)</f>
        <v>544364705.68525195</v>
      </c>
    </row>
    <row r="107" spans="1:19" s="41" customFormat="1" x14ac:dyDescent="0.2"/>
    <row r="108" spans="1:19" x14ac:dyDescent="0.2">
      <c r="A108" s="15" t="s">
        <v>102</v>
      </c>
    </row>
    <row r="109" spans="1:19" x14ac:dyDescent="0.2">
      <c r="A109" s="22" t="s">
        <v>104</v>
      </c>
      <c r="B109" s="22"/>
      <c r="C109" s="22"/>
      <c r="D109" s="23"/>
      <c r="E109" s="23"/>
      <c r="F109" s="23"/>
      <c r="G109" s="23"/>
      <c r="H109" s="23" t="s">
        <v>18</v>
      </c>
      <c r="I109" s="23"/>
      <c r="J109" s="23"/>
      <c r="K109" s="23"/>
      <c r="L109" s="23"/>
      <c r="M109" s="23"/>
      <c r="N109" s="23"/>
      <c r="O109" s="23"/>
      <c r="P109" s="23"/>
      <c r="Q109" s="23"/>
      <c r="R109" s="23"/>
      <c r="S109" s="23"/>
    </row>
    <row r="110" spans="1:19" x14ac:dyDescent="0.2">
      <c r="A110" s="23" t="s">
        <v>19</v>
      </c>
      <c r="B110" s="23"/>
      <c r="C110" s="23"/>
      <c r="D110" s="23"/>
      <c r="E110" s="23"/>
      <c r="F110" s="23"/>
      <c r="G110" s="23"/>
      <c r="H110" s="24">
        <f>H89</f>
        <v>64</v>
      </c>
      <c r="I110" s="24">
        <f t="shared" ref="I110:R110" si="76">I36*($H$110*(1+0.02*(I2-2024)))</f>
        <v>39408358.363605917</v>
      </c>
      <c r="J110" s="24">
        <f t="shared" si="76"/>
        <v>40619435.803194925</v>
      </c>
      <c r="K110" s="24">
        <f t="shared" si="76"/>
        <v>40364750.386148706</v>
      </c>
      <c r="L110" s="24">
        <f t="shared" si="76"/>
        <v>39217959.526553102</v>
      </c>
      <c r="M110" s="24">
        <f t="shared" si="76"/>
        <v>38038847.3791807</v>
      </c>
      <c r="N110" s="24">
        <f t="shared" si="76"/>
        <v>36829527.926666051</v>
      </c>
      <c r="O110" s="24">
        <f t="shared" si="76"/>
        <v>35592053.965723947</v>
      </c>
      <c r="P110" s="24">
        <f t="shared" si="76"/>
        <v>34328416.370905459</v>
      </c>
      <c r="Q110" s="24">
        <f t="shared" si="76"/>
        <v>33040543.605100945</v>
      </c>
      <c r="R110" s="24">
        <f t="shared" si="76"/>
        <v>31730301.454630096</v>
      </c>
      <c r="S110" s="23"/>
    </row>
    <row r="111" spans="1:19" x14ac:dyDescent="0.2">
      <c r="A111" s="23" t="s">
        <v>74</v>
      </c>
      <c r="B111" s="23"/>
      <c r="C111" s="23"/>
      <c r="D111" s="23"/>
      <c r="E111" s="23"/>
      <c r="F111" s="23"/>
      <c r="G111" s="23"/>
      <c r="H111" s="24">
        <f>H90</f>
        <v>107.23583695223056</v>
      </c>
      <c r="I111" s="24">
        <f>I37*($H$111*(1+0.05*(I2-2024)))</f>
        <v>30830303.123766281</v>
      </c>
      <c r="J111" s="24">
        <f t="shared" ref="J111:R111" si="77">J37*($H$111*(1+0.05*(J2-2024)))</f>
        <v>32170751.085669167</v>
      </c>
      <c r="K111" s="24">
        <f t="shared" si="77"/>
        <v>33511199.04757205</v>
      </c>
      <c r="L111" s="24">
        <f t="shared" si="77"/>
        <v>34851647.009474933</v>
      </c>
      <c r="M111" s="24">
        <f t="shared" si="77"/>
        <v>36192094.971377812</v>
      </c>
      <c r="N111" s="24">
        <f t="shared" si="77"/>
        <v>37532542.933280692</v>
      </c>
      <c r="O111" s="24">
        <f t="shared" si="77"/>
        <v>38872990.895183578</v>
      </c>
      <c r="P111" s="24">
        <f t="shared" si="77"/>
        <v>40213438.857086457</v>
      </c>
      <c r="Q111" s="24">
        <f t="shared" si="77"/>
        <v>41553886.818989344</v>
      </c>
      <c r="R111" s="24">
        <f t="shared" si="77"/>
        <v>42894334.780892223</v>
      </c>
      <c r="S111" s="23"/>
    </row>
    <row r="112" spans="1:19" x14ac:dyDescent="0.2">
      <c r="A112" s="23" t="s">
        <v>20</v>
      </c>
      <c r="B112" s="23"/>
      <c r="C112" s="23"/>
      <c r="D112" s="23"/>
      <c r="E112" s="23"/>
      <c r="F112" s="23"/>
      <c r="G112" s="23"/>
      <c r="H112" s="24">
        <f>H91</f>
        <v>171</v>
      </c>
      <c r="I112" s="24">
        <f t="shared" ref="I112:R112" si="78">I38*($H$112*(1+0.02*(I2-2024)))</f>
        <v>8401054.6045327485</v>
      </c>
      <c r="J112" s="24">
        <f t="shared" si="78"/>
        <v>2291426.7000148203</v>
      </c>
      <c r="K112" s="24">
        <f t="shared" si="78"/>
        <v>0</v>
      </c>
      <c r="L112" s="24">
        <f t="shared" si="78"/>
        <v>0</v>
      </c>
      <c r="M112" s="24">
        <f t="shared" si="78"/>
        <v>0</v>
      </c>
      <c r="N112" s="24">
        <f t="shared" si="78"/>
        <v>0</v>
      </c>
      <c r="O112" s="24">
        <f t="shared" si="78"/>
        <v>0</v>
      </c>
      <c r="P112" s="24">
        <f t="shared" si="78"/>
        <v>0</v>
      </c>
      <c r="Q112" s="24">
        <f t="shared" si="78"/>
        <v>0</v>
      </c>
      <c r="R112" s="24">
        <f t="shared" si="78"/>
        <v>0</v>
      </c>
      <c r="S112" s="23" t="s">
        <v>35</v>
      </c>
    </row>
    <row r="113" spans="1:19" x14ac:dyDescent="0.2">
      <c r="A113" s="22" t="s">
        <v>21</v>
      </c>
      <c r="B113" s="22"/>
      <c r="C113" s="22"/>
      <c r="D113" s="22"/>
      <c r="E113" s="22"/>
      <c r="F113" s="22"/>
      <c r="G113" s="22"/>
      <c r="H113" s="22"/>
      <c r="I113" s="26">
        <f>SUM(I110:I112)</f>
        <v>78639716.091904938</v>
      </c>
      <c r="J113" s="26">
        <f t="shared" ref="J113:R113" si="79">SUM(J110:J112)</f>
        <v>75081613.588878915</v>
      </c>
      <c r="K113" s="26">
        <f t="shared" si="79"/>
        <v>73875949.433720753</v>
      </c>
      <c r="L113" s="26">
        <f t="shared" si="79"/>
        <v>74069606.536028028</v>
      </c>
      <c r="M113" s="26">
        <f t="shared" si="79"/>
        <v>74230942.350558519</v>
      </c>
      <c r="N113" s="26">
        <f t="shared" si="79"/>
        <v>74362070.859946743</v>
      </c>
      <c r="O113" s="26">
        <f t="shared" si="79"/>
        <v>74465044.860907525</v>
      </c>
      <c r="P113" s="26">
        <f t="shared" si="79"/>
        <v>74541855.227991909</v>
      </c>
      <c r="Q113" s="26">
        <f t="shared" si="79"/>
        <v>74594430.424090296</v>
      </c>
      <c r="R113" s="26">
        <f t="shared" si="79"/>
        <v>74624636.235522315</v>
      </c>
      <c r="S113" s="34" t="s">
        <v>22</v>
      </c>
    </row>
    <row r="114" spans="1:19" x14ac:dyDescent="0.2">
      <c r="A114" s="22" t="s">
        <v>25</v>
      </c>
      <c r="J114" s="23"/>
      <c r="K114" s="23"/>
      <c r="L114" s="23"/>
      <c r="M114" s="23"/>
      <c r="N114" s="23"/>
      <c r="O114" s="23"/>
      <c r="P114" s="23"/>
      <c r="Q114" s="23"/>
      <c r="S114" s="26">
        <f>SUM(I113:R113)</f>
        <v>748485865.60954988</v>
      </c>
    </row>
    <row r="115" spans="1:19" x14ac:dyDescent="0.2">
      <c r="A115" s="23" t="s">
        <v>81</v>
      </c>
      <c r="B115" s="23"/>
      <c r="C115" s="23"/>
      <c r="D115" s="23"/>
      <c r="E115" s="23"/>
      <c r="F115" s="24">
        <f>F62</f>
        <v>220000000</v>
      </c>
      <c r="G115" s="24"/>
      <c r="H115" s="23"/>
      <c r="I115" s="27">
        <f>F115/20</f>
        <v>11000000</v>
      </c>
      <c r="J115" s="27">
        <f>I115</f>
        <v>11000000</v>
      </c>
      <c r="K115" s="27">
        <f t="shared" ref="K115:R115" si="80">J115</f>
        <v>11000000</v>
      </c>
      <c r="L115" s="27">
        <f t="shared" si="80"/>
        <v>11000000</v>
      </c>
      <c r="M115" s="27">
        <f t="shared" si="80"/>
        <v>11000000</v>
      </c>
      <c r="N115" s="27">
        <f t="shared" si="80"/>
        <v>11000000</v>
      </c>
      <c r="O115" s="27">
        <f t="shared" si="80"/>
        <v>11000000</v>
      </c>
      <c r="P115" s="27">
        <f t="shared" si="80"/>
        <v>11000000</v>
      </c>
      <c r="Q115" s="27">
        <f t="shared" si="80"/>
        <v>11000000</v>
      </c>
      <c r="R115" s="27">
        <f t="shared" si="80"/>
        <v>11000000</v>
      </c>
      <c r="S115" s="23"/>
    </row>
    <row r="116" spans="1:19" x14ac:dyDescent="0.2">
      <c r="A116" s="22" t="s">
        <v>24</v>
      </c>
      <c r="B116" s="23"/>
      <c r="C116" s="23"/>
      <c r="D116" s="23"/>
      <c r="E116" s="23"/>
      <c r="F116" s="23"/>
      <c r="G116" s="23"/>
      <c r="H116" s="23"/>
      <c r="I116" s="28">
        <f>SUM(I115+I113)</f>
        <v>89639716.091904938</v>
      </c>
      <c r="J116" s="28">
        <f t="shared" ref="J116:R116" si="81">SUM(J115+J113)</f>
        <v>86081613.588878915</v>
      </c>
      <c r="K116" s="28">
        <f t="shared" si="81"/>
        <v>84875949.433720753</v>
      </c>
      <c r="L116" s="28">
        <f t="shared" si="81"/>
        <v>85069606.536028028</v>
      </c>
      <c r="M116" s="28">
        <f t="shared" si="81"/>
        <v>85230942.350558519</v>
      </c>
      <c r="N116" s="28">
        <f t="shared" si="81"/>
        <v>85362070.859946743</v>
      </c>
      <c r="O116" s="28">
        <f t="shared" si="81"/>
        <v>85465044.860907525</v>
      </c>
      <c r="P116" s="28">
        <f t="shared" si="81"/>
        <v>85541855.227991909</v>
      </c>
      <c r="Q116" s="28">
        <f t="shared" si="81"/>
        <v>85594430.424090296</v>
      </c>
      <c r="R116" s="28">
        <f t="shared" si="81"/>
        <v>85624636.235522315</v>
      </c>
    </row>
    <row r="117" spans="1:19" x14ac:dyDescent="0.2">
      <c r="A117" s="15" t="s">
        <v>26</v>
      </c>
      <c r="S117" s="26">
        <f>SUM(I116:R116)</f>
        <v>858485865.60954988</v>
      </c>
    </row>
    <row r="118" spans="1:19" x14ac:dyDescent="0.2">
      <c r="A118" s="15"/>
      <c r="R118" s="26"/>
    </row>
    <row r="119" spans="1:19" x14ac:dyDescent="0.2">
      <c r="A119" s="22" t="s">
        <v>105</v>
      </c>
      <c r="B119" s="22"/>
      <c r="C119" s="22"/>
      <c r="D119" s="23"/>
      <c r="E119" s="23"/>
      <c r="F119" s="23"/>
      <c r="G119" s="23"/>
      <c r="H119" s="23" t="s">
        <v>28</v>
      </c>
      <c r="I119" s="23"/>
      <c r="J119" s="23"/>
      <c r="K119" s="23"/>
      <c r="L119" s="23"/>
      <c r="M119" s="23"/>
      <c r="N119" s="23"/>
      <c r="O119" s="23"/>
      <c r="P119" s="23"/>
      <c r="Q119" s="23"/>
      <c r="R119" s="23"/>
      <c r="S119" s="23"/>
    </row>
    <row r="120" spans="1:19" x14ac:dyDescent="0.2">
      <c r="A120" s="23" t="s">
        <v>19</v>
      </c>
      <c r="B120" s="23"/>
      <c r="C120" s="23"/>
      <c r="D120" s="23"/>
      <c r="E120" s="23"/>
      <c r="F120" s="23"/>
      <c r="G120" s="23"/>
      <c r="H120" s="24">
        <f>H99</f>
        <v>47.643125769627581</v>
      </c>
      <c r="I120" s="24">
        <f t="shared" ref="I120:R120" si="82">I36*($H$120*(1+0.02*(I2-2022)))</f>
        <v>30443560.01298666</v>
      </c>
      <c r="J120" s="24">
        <f t="shared" si="82"/>
        <v>31358005.140371535</v>
      </c>
      <c r="K120" s="24">
        <f t="shared" si="82"/>
        <v>31141154.579685699</v>
      </c>
      <c r="L120" s="24">
        <f t="shared" si="82"/>
        <v>30237454.891964436</v>
      </c>
      <c r="M120" s="24">
        <f t="shared" si="82"/>
        <v>29310604.659885</v>
      </c>
      <c r="N120" s="24">
        <f t="shared" si="82"/>
        <v>28362184.769065123</v>
      </c>
      <c r="O120" s="24">
        <f t="shared" si="82"/>
        <v>27393728.525632903</v>
      </c>
      <c r="P120" s="24">
        <f t="shared" si="82"/>
        <v>26406721.25914944</v>
      </c>
      <c r="Q120" s="24">
        <f t="shared" si="82"/>
        <v>25402600.100385599</v>
      </c>
      <c r="R120" s="24">
        <f t="shared" si="82"/>
        <v>24382753.917921592</v>
      </c>
      <c r="S120" s="23"/>
    </row>
    <row r="121" spans="1:19" x14ac:dyDescent="0.2">
      <c r="A121" s="23" t="s">
        <v>74</v>
      </c>
      <c r="B121" s="23"/>
      <c r="C121" s="23"/>
      <c r="D121" s="23"/>
      <c r="E121" s="23"/>
      <c r="F121" s="23"/>
      <c r="G121" s="23"/>
      <c r="H121" s="24">
        <f>H100</f>
        <v>78.280771161677052</v>
      </c>
      <c r="I121" s="24">
        <f>I37*($H$121*(1+0.05*(I2-2022)))</f>
        <v>24462740.988024082</v>
      </c>
      <c r="J121" s="24">
        <f t="shared" ref="J121:R121" si="83">J37*($H$121*(1+0.05*(J2-2022)))</f>
        <v>25441250.62754504</v>
      </c>
      <c r="K121" s="24">
        <f t="shared" si="83"/>
        <v>26419760.267066006</v>
      </c>
      <c r="L121" s="24">
        <f t="shared" si="83"/>
        <v>27398269.906586967</v>
      </c>
      <c r="M121" s="24">
        <f t="shared" si="83"/>
        <v>28376779.546107929</v>
      </c>
      <c r="N121" s="24">
        <f t="shared" si="83"/>
        <v>29355289.185628895</v>
      </c>
      <c r="O121" s="24">
        <f t="shared" si="83"/>
        <v>30333798.82514986</v>
      </c>
      <c r="P121" s="24">
        <f t="shared" si="83"/>
        <v>31312308.464670822</v>
      </c>
      <c r="Q121" s="24">
        <f t="shared" si="83"/>
        <v>32290818.104191784</v>
      </c>
      <c r="R121" s="24">
        <f t="shared" si="83"/>
        <v>33269327.743712749</v>
      </c>
      <c r="S121" s="23"/>
    </row>
    <row r="122" spans="1:19" x14ac:dyDescent="0.2">
      <c r="A122" s="23" t="s">
        <v>20</v>
      </c>
      <c r="B122" s="23"/>
      <c r="C122" s="23"/>
      <c r="D122" s="23"/>
      <c r="E122" s="23"/>
      <c r="F122" s="23"/>
      <c r="G122" s="23"/>
      <c r="H122" s="24">
        <f>H101</f>
        <v>117.41999999999999</v>
      </c>
      <c r="I122" s="24">
        <f t="shared" ref="I122:R122" si="84">I38*($H$122*(1+0.02*(I2-2022)))</f>
        <v>5986411.8659972344</v>
      </c>
      <c r="J122" s="24">
        <f t="shared" si="84"/>
        <v>1631722.1241587016</v>
      </c>
      <c r="K122" s="24">
        <f t="shared" si="84"/>
        <v>0</v>
      </c>
      <c r="L122" s="24">
        <f t="shared" si="84"/>
        <v>0</v>
      </c>
      <c r="M122" s="24">
        <f t="shared" si="84"/>
        <v>0</v>
      </c>
      <c r="N122" s="24">
        <f t="shared" si="84"/>
        <v>0</v>
      </c>
      <c r="O122" s="24">
        <f t="shared" si="84"/>
        <v>0</v>
      </c>
      <c r="P122" s="24">
        <f t="shared" si="84"/>
        <v>0</v>
      </c>
      <c r="Q122" s="24">
        <f t="shared" si="84"/>
        <v>0</v>
      </c>
      <c r="R122" s="24">
        <f t="shared" si="84"/>
        <v>0</v>
      </c>
      <c r="S122" s="23" t="s">
        <v>36</v>
      </c>
    </row>
    <row r="123" spans="1:19" x14ac:dyDescent="0.2">
      <c r="A123" s="22" t="s">
        <v>21</v>
      </c>
      <c r="B123" s="22"/>
      <c r="C123" s="22"/>
      <c r="D123" s="22"/>
      <c r="E123" s="22"/>
      <c r="F123" s="22"/>
      <c r="G123" s="22"/>
      <c r="H123" s="22"/>
      <c r="I123" s="26">
        <f>SUM(I120:I122)</f>
        <v>60892712.867007978</v>
      </c>
      <c r="J123" s="26">
        <f t="shared" ref="J123:R123" si="85">SUM(J120:J122)</f>
        <v>58430977.892075278</v>
      </c>
      <c r="K123" s="26">
        <f t="shared" si="85"/>
        <v>57560914.846751705</v>
      </c>
      <c r="L123" s="26">
        <f t="shared" si="85"/>
        <v>57635724.798551403</v>
      </c>
      <c r="M123" s="26">
        <f t="shared" si="85"/>
        <v>57687384.20599293</v>
      </c>
      <c r="N123" s="26">
        <f t="shared" si="85"/>
        <v>57717473.954694018</v>
      </c>
      <c r="O123" s="26">
        <f t="shared" si="85"/>
        <v>57727527.350782767</v>
      </c>
      <c r="P123" s="26">
        <f t="shared" si="85"/>
        <v>57719029.723820262</v>
      </c>
      <c r="Q123" s="26">
        <f t="shared" si="85"/>
        <v>57693418.204577386</v>
      </c>
      <c r="R123" s="26">
        <f t="shared" si="85"/>
        <v>57652081.661634341</v>
      </c>
      <c r="S123" s="34" t="s">
        <v>22</v>
      </c>
    </row>
    <row r="124" spans="1:19" x14ac:dyDescent="0.2">
      <c r="A124" s="22" t="s">
        <v>25</v>
      </c>
      <c r="J124" s="23"/>
      <c r="K124" s="23"/>
      <c r="L124" s="23"/>
      <c r="M124" s="23"/>
      <c r="N124" s="23"/>
      <c r="O124" s="23"/>
      <c r="P124" s="23"/>
      <c r="Q124" s="23"/>
      <c r="S124" s="26">
        <f>SUM(I123:R123)</f>
        <v>580717245.5058881</v>
      </c>
    </row>
    <row r="125" spans="1:19" x14ac:dyDescent="0.2">
      <c r="A125" s="23" t="s">
        <v>81</v>
      </c>
      <c r="B125" s="23"/>
      <c r="C125" s="23"/>
      <c r="D125" s="23"/>
      <c r="E125" s="23"/>
      <c r="F125" s="24">
        <f>F53</f>
        <v>220000000</v>
      </c>
      <c r="G125" s="24"/>
      <c r="H125" s="23"/>
      <c r="I125" s="27">
        <f>F125/20</f>
        <v>11000000</v>
      </c>
      <c r="J125" s="27">
        <f>I125</f>
        <v>11000000</v>
      </c>
      <c r="K125" s="27">
        <f t="shared" ref="K125:R125" si="86">J125</f>
        <v>11000000</v>
      </c>
      <c r="L125" s="27">
        <f t="shared" si="86"/>
        <v>11000000</v>
      </c>
      <c r="M125" s="27">
        <f t="shared" si="86"/>
        <v>11000000</v>
      </c>
      <c r="N125" s="27">
        <f t="shared" si="86"/>
        <v>11000000</v>
      </c>
      <c r="O125" s="27">
        <f t="shared" si="86"/>
        <v>11000000</v>
      </c>
      <c r="P125" s="27">
        <f t="shared" si="86"/>
        <v>11000000</v>
      </c>
      <c r="Q125" s="27">
        <f t="shared" si="86"/>
        <v>11000000</v>
      </c>
      <c r="R125" s="27">
        <f t="shared" si="86"/>
        <v>11000000</v>
      </c>
      <c r="S125" s="23"/>
    </row>
    <row r="126" spans="1:19" x14ac:dyDescent="0.2">
      <c r="A126" s="22" t="s">
        <v>24</v>
      </c>
      <c r="B126" s="23"/>
      <c r="C126" s="23"/>
      <c r="D126" s="23"/>
      <c r="E126" s="23"/>
      <c r="F126" s="23"/>
      <c r="G126" s="23"/>
      <c r="H126" s="23"/>
      <c r="I126" s="28">
        <f>SUM(I125+I123)</f>
        <v>71892712.867007971</v>
      </c>
      <c r="J126" s="28">
        <f t="shared" ref="J126:R126" si="87">SUM(J125+J123)</f>
        <v>69430977.89207527</v>
      </c>
      <c r="K126" s="28">
        <f t="shared" si="87"/>
        <v>68560914.846751705</v>
      </c>
      <c r="L126" s="28">
        <f t="shared" si="87"/>
        <v>68635724.79855141</v>
      </c>
      <c r="M126" s="28">
        <f t="shared" si="87"/>
        <v>68687384.205992937</v>
      </c>
      <c r="N126" s="28">
        <f t="shared" si="87"/>
        <v>68717473.954694018</v>
      </c>
      <c r="O126" s="28">
        <f t="shared" si="87"/>
        <v>68727527.350782767</v>
      </c>
      <c r="P126" s="28">
        <f t="shared" si="87"/>
        <v>68719029.723820269</v>
      </c>
      <c r="Q126" s="28">
        <f t="shared" si="87"/>
        <v>68693418.204577386</v>
      </c>
      <c r="R126" s="28">
        <f t="shared" si="87"/>
        <v>68652081.661634341</v>
      </c>
    </row>
    <row r="127" spans="1:19" x14ac:dyDescent="0.2">
      <c r="A127" s="15" t="s">
        <v>26</v>
      </c>
      <c r="S127" s="26">
        <f>SUM(I126:R126)</f>
        <v>690717245.5058881</v>
      </c>
    </row>
    <row r="128" spans="1:19" ht="17" customHeight="1" x14ac:dyDescent="0.2"/>
    <row r="129" spans="1:12" ht="17" customHeight="1" x14ac:dyDescent="0.2">
      <c r="A129" s="32"/>
    </row>
    <row r="134" spans="1:12" s="42" customFormat="1" x14ac:dyDescent="0.2">
      <c r="A134" s="42" t="s">
        <v>38</v>
      </c>
      <c r="D134" s="42" t="s">
        <v>48</v>
      </c>
      <c r="H134" s="43">
        <v>-0.04</v>
      </c>
      <c r="I134" s="42" t="s">
        <v>134</v>
      </c>
    </row>
    <row r="135" spans="1:12" ht="34" x14ac:dyDescent="0.2">
      <c r="A135" s="15" t="s">
        <v>39</v>
      </c>
      <c r="F135" s="44" t="s">
        <v>100</v>
      </c>
      <c r="G135" s="44" t="s">
        <v>135</v>
      </c>
      <c r="H135" s="45" t="s">
        <v>84</v>
      </c>
      <c r="I135" s="15" t="s">
        <v>44</v>
      </c>
      <c r="J135" s="15" t="s">
        <v>45</v>
      </c>
    </row>
    <row r="136" spans="1:12" x14ac:dyDescent="0.2">
      <c r="A136" t="s">
        <v>12</v>
      </c>
      <c r="F136" s="25">
        <f>S55</f>
        <v>922224978.03389573</v>
      </c>
      <c r="G136" s="25">
        <f>F136</f>
        <v>922224978.03389573</v>
      </c>
      <c r="J136" s="13">
        <f>S13-S32</f>
        <v>868131.87799350359</v>
      </c>
      <c r="L136" s="29"/>
    </row>
    <row r="137" spans="1:12" x14ac:dyDescent="0.2">
      <c r="A137" t="s">
        <v>82</v>
      </c>
      <c r="F137" s="25">
        <f>S75</f>
        <v>1160969283.5145862</v>
      </c>
      <c r="G137" s="25">
        <f>F137</f>
        <v>1160969283.5145862</v>
      </c>
      <c r="I137" s="61">
        <f>F136-F137</f>
        <v>-238744305.48069048</v>
      </c>
      <c r="K137" t="s">
        <v>125</v>
      </c>
    </row>
    <row r="138" spans="1:12" x14ac:dyDescent="0.2">
      <c r="A138" t="s">
        <v>83</v>
      </c>
      <c r="F138" s="25">
        <f>S96</f>
        <v>724666523.37168133</v>
      </c>
      <c r="G138" s="63">
        <f>F138+H138</f>
        <v>824666523.37168133</v>
      </c>
      <c r="H138" s="47">
        <v>100000000</v>
      </c>
      <c r="I138" s="62">
        <f>F136-F138-H138</f>
        <v>97558454.662214398</v>
      </c>
    </row>
    <row r="139" spans="1:12" x14ac:dyDescent="0.2">
      <c r="A139" t="s">
        <v>103</v>
      </c>
      <c r="F139" s="25">
        <f>S117</f>
        <v>858485865.60954988</v>
      </c>
      <c r="G139" s="25">
        <f>F139+H139</f>
        <v>958485865.60954988</v>
      </c>
      <c r="H139" s="40">
        <f>H138</f>
        <v>100000000</v>
      </c>
      <c r="I139" s="61">
        <f>F136-F139-H139</f>
        <v>-36260887.575654149</v>
      </c>
      <c r="K139" t="s">
        <v>126</v>
      </c>
    </row>
    <row r="141" spans="1:12" x14ac:dyDescent="0.2">
      <c r="A141" s="15" t="s">
        <v>40</v>
      </c>
      <c r="J141" s="13">
        <f>J136</f>
        <v>868131.87799350359</v>
      </c>
      <c r="L141" s="29"/>
    </row>
    <row r="142" spans="1:12" x14ac:dyDescent="0.2">
      <c r="A142" t="s">
        <v>12</v>
      </c>
      <c r="F142" s="25">
        <f>S64</f>
        <v>734077636.68256271</v>
      </c>
      <c r="G142" s="25">
        <f>F142</f>
        <v>734077636.68256271</v>
      </c>
    </row>
    <row r="143" spans="1:12" x14ac:dyDescent="0.2">
      <c r="A143" t="s">
        <v>82</v>
      </c>
      <c r="F143" s="25">
        <f>S85</f>
        <v>853612970.50686359</v>
      </c>
      <c r="G143" s="25">
        <f>F143</f>
        <v>853612970.50686359</v>
      </c>
      <c r="I143" s="61">
        <f>F142-F143</f>
        <v>-119535333.82430089</v>
      </c>
      <c r="K143" t="s">
        <v>125</v>
      </c>
    </row>
    <row r="144" spans="1:12" ht="17" customHeight="1" x14ac:dyDescent="0.2">
      <c r="A144" t="s">
        <v>83</v>
      </c>
      <c r="F144" s="25">
        <f>S106</f>
        <v>544364705.68525195</v>
      </c>
      <c r="G144" s="63">
        <f>F144+H144</f>
        <v>644364705.68525195</v>
      </c>
      <c r="H144" s="40">
        <f>H138</f>
        <v>100000000</v>
      </c>
      <c r="I144" s="62">
        <f>F142-F144-H144</f>
        <v>89712930.997310758</v>
      </c>
    </row>
    <row r="145" spans="1:19" ht="17" customHeight="1" x14ac:dyDescent="0.2">
      <c r="A145" t="s">
        <v>103</v>
      </c>
      <c r="F145" s="25">
        <f>S127</f>
        <v>690717245.5058881</v>
      </c>
      <c r="G145" s="25">
        <f>F145+H145</f>
        <v>790717245.5058881</v>
      </c>
      <c r="H145" s="40">
        <f>H138</f>
        <v>100000000</v>
      </c>
      <c r="I145" s="61">
        <f>F142-F145-H145</f>
        <v>-56639608.823325396</v>
      </c>
    </row>
    <row r="147" spans="1:19" x14ac:dyDescent="0.2">
      <c r="A147" s="1"/>
    </row>
    <row r="148" spans="1:19" x14ac:dyDescent="0.2">
      <c r="A148" s="23"/>
      <c r="B148" s="23"/>
      <c r="C148" s="23"/>
      <c r="D148" s="23"/>
      <c r="E148" s="23"/>
      <c r="F148" s="23"/>
      <c r="G148" s="23"/>
      <c r="H148" s="23"/>
      <c r="I148" s="24"/>
      <c r="J148" s="23"/>
      <c r="K148" s="23"/>
      <c r="L148" s="23"/>
      <c r="M148" s="23"/>
      <c r="N148" s="23"/>
      <c r="O148" s="23"/>
      <c r="P148" s="23"/>
      <c r="Q148" s="23"/>
      <c r="R148" s="23"/>
      <c r="S148" s="23"/>
    </row>
    <row r="168" spans="1:1" x14ac:dyDescent="0.2">
      <c r="A168" s="1"/>
    </row>
  </sheetData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44013A-8471-5A4A-B2B4-BEDD06F62B60}">
  <dimension ref="A1:U168"/>
  <sheetViews>
    <sheetView topLeftCell="A128" workbookViewId="0">
      <selection activeCell="G135" sqref="G135:G145"/>
    </sheetView>
  </sheetViews>
  <sheetFormatPr baseColWidth="10" defaultRowHeight="16" x14ac:dyDescent="0.2"/>
  <cols>
    <col min="1" max="1" width="40.33203125" customWidth="1"/>
    <col min="2" max="2" width="13" customWidth="1"/>
    <col min="6" max="6" width="16" bestFit="1" customWidth="1"/>
    <col min="7" max="7" width="16" customWidth="1"/>
    <col min="8" max="8" width="15.83203125" customWidth="1"/>
    <col min="9" max="18" width="14.6640625" customWidth="1"/>
    <col min="19" max="19" width="18" customWidth="1"/>
  </cols>
  <sheetData>
    <row r="1" spans="1:21" ht="34" x14ac:dyDescent="0.2">
      <c r="A1" s="1" t="s">
        <v>0</v>
      </c>
      <c r="B1" s="2" t="s">
        <v>1</v>
      </c>
      <c r="C1" s="2"/>
      <c r="D1" s="2"/>
      <c r="E1" s="2"/>
      <c r="F1" s="36" t="s">
        <v>112</v>
      </c>
      <c r="G1" s="53" t="s">
        <v>114</v>
      </c>
      <c r="H1" s="2" t="s">
        <v>2</v>
      </c>
      <c r="I1" s="3" t="s">
        <v>3</v>
      </c>
      <c r="J1" s="3"/>
      <c r="K1" s="3"/>
      <c r="L1" s="3"/>
      <c r="M1" s="3"/>
      <c r="N1" s="3"/>
      <c r="O1" s="3"/>
      <c r="P1" s="3"/>
      <c r="Q1" s="3"/>
      <c r="R1" s="3"/>
    </row>
    <row r="2" spans="1:21" s="15" customFormat="1" x14ac:dyDescent="0.2">
      <c r="A2" s="15" t="s">
        <v>4</v>
      </c>
      <c r="B2" s="15">
        <v>2010</v>
      </c>
      <c r="C2" s="15">
        <v>2020</v>
      </c>
      <c r="D2" s="15">
        <v>2022</v>
      </c>
      <c r="E2" s="15">
        <v>2024</v>
      </c>
      <c r="I2" s="15">
        <v>2027</v>
      </c>
      <c r="J2" s="15">
        <f>I2+1</f>
        <v>2028</v>
      </c>
      <c r="K2" s="15">
        <f t="shared" ref="K2:Q2" si="0">J2+1</f>
        <v>2029</v>
      </c>
      <c r="L2" s="15">
        <f t="shared" si="0"/>
        <v>2030</v>
      </c>
      <c r="M2" s="15">
        <f t="shared" si="0"/>
        <v>2031</v>
      </c>
      <c r="N2" s="15">
        <f t="shared" si="0"/>
        <v>2032</v>
      </c>
      <c r="O2" s="15">
        <f t="shared" si="0"/>
        <v>2033</v>
      </c>
      <c r="P2" s="15">
        <f t="shared" si="0"/>
        <v>2034</v>
      </c>
      <c r="Q2" s="15">
        <f t="shared" si="0"/>
        <v>2035</v>
      </c>
      <c r="R2" s="15">
        <f>Q2+1</f>
        <v>2036</v>
      </c>
      <c r="S2" s="15" t="s">
        <v>110</v>
      </c>
    </row>
    <row r="3" spans="1:21" x14ac:dyDescent="0.2">
      <c r="A3" t="s">
        <v>5</v>
      </c>
      <c r="B3" s="4">
        <v>2351496</v>
      </c>
      <c r="C3" s="4">
        <v>2766953</v>
      </c>
      <c r="D3" s="4">
        <v>2854375</v>
      </c>
      <c r="E3" s="4">
        <v>3124079</v>
      </c>
      <c r="F3" s="9"/>
      <c r="G3" s="9"/>
      <c r="H3" s="5"/>
      <c r="I3" s="4">
        <f>3124079+3*42500</f>
        <v>3251579</v>
      </c>
      <c r="J3" s="4">
        <f>I3+42500</f>
        <v>3294079</v>
      </c>
      <c r="K3" s="4">
        <f t="shared" ref="K3:R3" si="1">J3+42500</f>
        <v>3336579</v>
      </c>
      <c r="L3" s="4">
        <f t="shared" si="1"/>
        <v>3379079</v>
      </c>
      <c r="M3" s="4">
        <f t="shared" si="1"/>
        <v>3421579</v>
      </c>
      <c r="N3" s="4">
        <f t="shared" si="1"/>
        <v>3464079</v>
      </c>
      <c r="O3" s="4">
        <f t="shared" si="1"/>
        <v>3506579</v>
      </c>
      <c r="P3" s="4">
        <f t="shared" si="1"/>
        <v>3549079</v>
      </c>
      <c r="Q3" s="4">
        <f t="shared" si="1"/>
        <v>3591579</v>
      </c>
      <c r="R3" s="4">
        <f t="shared" si="1"/>
        <v>3634079</v>
      </c>
      <c r="S3" t="s">
        <v>6</v>
      </c>
    </row>
    <row r="4" spans="1:21" ht="19" customHeight="1" x14ac:dyDescent="0.2">
      <c r="A4" t="s">
        <v>7</v>
      </c>
      <c r="B4" s="6">
        <f>B13/B3</f>
        <v>0.60131933033269036</v>
      </c>
      <c r="C4" s="6">
        <f>C13/C3</f>
        <v>0.45757553525484529</v>
      </c>
      <c r="D4" s="6">
        <f>D13/D3</f>
        <v>0.44091964090212393</v>
      </c>
      <c r="E4" s="6">
        <f>E13/E3</f>
        <v>0.40831361818955281</v>
      </c>
      <c r="F4" s="52">
        <f>E4/B4-1</f>
        <v>-0.32097041024168271</v>
      </c>
      <c r="G4" s="52"/>
      <c r="H4" s="8">
        <f>F4/14</f>
        <v>-2.292645787440591E-2</v>
      </c>
      <c r="I4" s="9">
        <f>E4*(1+3*H4)</f>
        <v>0.38023006328864567</v>
      </c>
      <c r="J4" s="9">
        <f>I4*(1+$H$4)</f>
        <v>0.37151273476007585</v>
      </c>
      <c r="K4" s="9">
        <f t="shared" ref="K4:R4" si="2">J4*(1+$H$4)</f>
        <v>0.36299526369679364</v>
      </c>
      <c r="L4" s="9">
        <f t="shared" si="2"/>
        <v>0.35467306807504023</v>
      </c>
      <c r="M4" s="9">
        <f t="shared" si="2"/>
        <v>0.34654167092063148</v>
      </c>
      <c r="N4" s="9">
        <f t="shared" si="2"/>
        <v>0.33859669790054336</v>
      </c>
      <c r="O4" s="9">
        <f t="shared" si="2"/>
        <v>0.33083387496971361</v>
      </c>
      <c r="P4" s="9">
        <f t="shared" si="2"/>
        <v>0.32324902607179401</v>
      </c>
      <c r="Q4" s="9">
        <f t="shared" si="2"/>
        <v>0.31583807089261628</v>
      </c>
      <c r="R4" s="9">
        <f t="shared" si="2"/>
        <v>0.30859702266516309</v>
      </c>
      <c r="T4" s="9"/>
    </row>
    <row r="5" spans="1:21" s="21" customFormat="1" ht="17" customHeight="1" x14ac:dyDescent="0.2">
      <c r="A5" s="16" t="s">
        <v>12</v>
      </c>
      <c r="B5" s="17"/>
      <c r="C5" s="17"/>
      <c r="D5" s="17"/>
      <c r="E5" s="17"/>
      <c r="F5" s="18"/>
      <c r="H5" s="19"/>
      <c r="I5" s="20"/>
      <c r="J5" s="20"/>
      <c r="K5" s="20"/>
      <c r="L5" s="20"/>
      <c r="M5" s="20"/>
      <c r="N5" s="20"/>
      <c r="O5" s="20"/>
      <c r="P5" s="20"/>
      <c r="Q5" s="20"/>
      <c r="R5" s="20"/>
    </row>
    <row r="6" spans="1:21" x14ac:dyDescent="0.2">
      <c r="A6" s="10" t="s">
        <v>8</v>
      </c>
      <c r="B6" s="4">
        <v>567817</v>
      </c>
      <c r="C6" s="4">
        <f>615596+44138</f>
        <v>659734</v>
      </c>
      <c r="D6" s="4">
        <v>691083</v>
      </c>
      <c r="E6" s="4">
        <v>509495</v>
      </c>
      <c r="F6" s="7">
        <f>D6/B6-1</f>
        <v>0.21708754757254534</v>
      </c>
      <c r="G6" s="7">
        <f>E6/(E6+E9)</f>
        <v>0.7372414022628252</v>
      </c>
      <c r="H6" s="8">
        <f>F6/12</f>
        <v>1.8090628964378779E-2</v>
      </c>
      <c r="I6" s="11">
        <f>750000-I9</f>
        <v>580901.50889749289</v>
      </c>
      <c r="J6" s="11">
        <f t="shared" ref="J6:L6" si="3">750000-J9</f>
        <v>584778.33833038015</v>
      </c>
      <c r="K6" s="11">
        <f t="shared" si="3"/>
        <v>588566.28579658805</v>
      </c>
      <c r="L6" s="11">
        <f t="shared" si="3"/>
        <v>592267.38904478145</v>
      </c>
      <c r="M6" s="11">
        <f>M13-M10-M9-M7</f>
        <v>591603.34295220964</v>
      </c>
      <c r="N6" s="11">
        <f t="shared" ref="N6:R6" si="4">N13-N10-N9-N7</f>
        <v>582342.69202769268</v>
      </c>
      <c r="O6" s="11">
        <f t="shared" si="4"/>
        <v>572964.43505192571</v>
      </c>
      <c r="P6" s="11">
        <f t="shared" si="4"/>
        <v>563478.83221148769</v>
      </c>
      <c r="Q6" s="11">
        <f t="shared" si="4"/>
        <v>553895.73504986905</v>
      </c>
      <c r="R6" s="11">
        <f t="shared" si="4"/>
        <v>544224.59981196595</v>
      </c>
    </row>
    <row r="7" spans="1:21" x14ac:dyDescent="0.2">
      <c r="A7" s="10" t="s">
        <v>89</v>
      </c>
      <c r="B7" s="4">
        <v>284468</v>
      </c>
      <c r="C7" s="4">
        <v>244362</v>
      </c>
      <c r="D7" s="4">
        <v>233051</v>
      </c>
      <c r="E7" s="4">
        <v>243169</v>
      </c>
      <c r="F7" s="7">
        <f>E7/B7-1</f>
        <v>-0.14517977417495109</v>
      </c>
      <c r="G7" s="7"/>
      <c r="H7" s="8">
        <f t="shared" ref="H7:H13" si="5">F7/12</f>
        <v>-1.2098314514579258E-2</v>
      </c>
      <c r="I7" s="54">
        <v>250000</v>
      </c>
      <c r="J7" s="54">
        <f>$I$7</f>
        <v>250000</v>
      </c>
      <c r="K7" s="54">
        <f t="shared" ref="K7:R7" si="6">$I$7</f>
        <v>250000</v>
      </c>
      <c r="L7" s="54">
        <f t="shared" si="6"/>
        <v>250000</v>
      </c>
      <c r="M7" s="54">
        <f t="shared" si="6"/>
        <v>250000</v>
      </c>
      <c r="N7" s="54">
        <f t="shared" si="6"/>
        <v>250000</v>
      </c>
      <c r="O7" s="54">
        <f t="shared" si="6"/>
        <v>250000</v>
      </c>
      <c r="P7" s="54">
        <f t="shared" si="6"/>
        <v>250000</v>
      </c>
      <c r="Q7" s="54">
        <f t="shared" si="6"/>
        <v>250000</v>
      </c>
      <c r="R7" s="54">
        <f t="shared" si="6"/>
        <v>250000</v>
      </c>
      <c r="S7" t="s">
        <v>31</v>
      </c>
      <c r="T7" t="s">
        <v>117</v>
      </c>
    </row>
    <row r="8" spans="1:21" x14ac:dyDescent="0.2">
      <c r="A8" s="10" t="s">
        <v>9</v>
      </c>
      <c r="B8" s="4">
        <f>396384</f>
        <v>396384</v>
      </c>
      <c r="C8" s="4">
        <f>35340</f>
        <v>35340</v>
      </c>
      <c r="D8" s="4">
        <f>144603</f>
        <v>144603</v>
      </c>
      <c r="E8" s="4">
        <v>151539</v>
      </c>
      <c r="F8" s="7">
        <f t="shared" ref="F8" si="7">D8/B8-1</f>
        <v>-0.6351946597239041</v>
      </c>
      <c r="G8" s="7"/>
      <c r="H8" s="8">
        <f t="shared" si="5"/>
        <v>-5.2932888310325339E-2</v>
      </c>
      <c r="I8" s="13">
        <f>I13-I10-I7-750000</f>
        <v>46348.088958031265</v>
      </c>
      <c r="J8" s="13">
        <f>J13-J10-J7-750000</f>
        <v>33792.297805735841</v>
      </c>
      <c r="K8" s="13">
        <f t="shared" ref="K8" si="8">K13-K10-K7-750000</f>
        <v>21162.37395018409</v>
      </c>
      <c r="L8" s="13">
        <f>L13-L10-L7-750000</f>
        <v>8468.3161979389843</v>
      </c>
      <c r="M8" s="13"/>
      <c r="N8" s="13"/>
      <c r="O8" s="13"/>
      <c r="P8" s="13"/>
      <c r="Q8" s="13"/>
      <c r="R8" s="13"/>
    </row>
    <row r="9" spans="1:21" x14ac:dyDescent="0.2">
      <c r="A9" s="14" t="s">
        <v>111</v>
      </c>
      <c r="B9" s="49" t="s">
        <v>113</v>
      </c>
      <c r="C9" s="49" t="s">
        <v>113</v>
      </c>
      <c r="D9" s="49" t="s">
        <v>113</v>
      </c>
      <c r="E9" s="49">
        <f>D6-E6</f>
        <v>181588</v>
      </c>
      <c r="F9" s="7">
        <f>F6</f>
        <v>0.21708754757254534</v>
      </c>
      <c r="G9" s="7">
        <f>E9/(E9+E6)</f>
        <v>0.26275859773717486</v>
      </c>
      <c r="H9" s="51"/>
      <c r="I9" s="57">
        <f>E9*(1+3*H4)</f>
        <v>169098.49110250713</v>
      </c>
      <c r="J9" s="57">
        <f>I9*(1+$H$4)</f>
        <v>165221.66166961991</v>
      </c>
      <c r="K9" s="57">
        <f t="shared" ref="K9:R9" si="9">J9*(1+$H$4)</f>
        <v>161433.714203412</v>
      </c>
      <c r="L9" s="57">
        <f t="shared" si="9"/>
        <v>157732.61095521858</v>
      </c>
      <c r="M9" s="57">
        <f t="shared" si="9"/>
        <v>154116.36089473369</v>
      </c>
      <c r="N9" s="57">
        <f t="shared" si="9"/>
        <v>150583.01863892382</v>
      </c>
      <c r="O9" s="57">
        <f t="shared" si="9"/>
        <v>147130.68340549764</v>
      </c>
      <c r="P9" s="57">
        <f t="shared" si="9"/>
        <v>143757.49799036892</v>
      </c>
      <c r="Q9" s="57">
        <f t="shared" si="9"/>
        <v>140461.64776856275</v>
      </c>
      <c r="R9" s="57">
        <f t="shared" si="9"/>
        <v>137241.35971802715</v>
      </c>
      <c r="T9" s="55" t="s">
        <v>118</v>
      </c>
      <c r="U9" t="s">
        <v>119</v>
      </c>
    </row>
    <row r="10" spans="1:21" ht="17" customHeight="1" x14ac:dyDescent="0.2">
      <c r="A10" s="14" t="s">
        <v>10</v>
      </c>
      <c r="B10" s="4">
        <v>165331</v>
      </c>
      <c r="C10" s="4">
        <v>326654</v>
      </c>
      <c r="D10" s="4">
        <v>189813</v>
      </c>
      <c r="E10" s="4">
        <f>D10</f>
        <v>189813</v>
      </c>
      <c r="F10" s="7">
        <f>D10/B10-1</f>
        <v>0.14807870272362722</v>
      </c>
      <c r="G10" s="7"/>
      <c r="H10" s="8">
        <f>F10/12</f>
        <v>1.2339891893635602E-2</v>
      </c>
      <c r="I10" s="54">
        <v>190000</v>
      </c>
      <c r="J10" s="54">
        <f>I10</f>
        <v>190000</v>
      </c>
      <c r="K10" s="54">
        <f t="shared" ref="K10:R10" si="10">J10</f>
        <v>190000</v>
      </c>
      <c r="L10" s="54">
        <f t="shared" si="10"/>
        <v>190000</v>
      </c>
      <c r="M10" s="54">
        <f t="shared" si="10"/>
        <v>190000</v>
      </c>
      <c r="N10" s="54">
        <f t="shared" si="10"/>
        <v>190000</v>
      </c>
      <c r="O10" s="54">
        <f t="shared" si="10"/>
        <v>190000</v>
      </c>
      <c r="P10" s="54">
        <f t="shared" si="10"/>
        <v>190000</v>
      </c>
      <c r="Q10" s="54">
        <f t="shared" si="10"/>
        <v>190000</v>
      </c>
      <c r="R10" s="54">
        <f t="shared" si="10"/>
        <v>190000</v>
      </c>
      <c r="T10" t="s">
        <v>117</v>
      </c>
    </row>
    <row r="11" spans="1:21" ht="17" customHeight="1" x14ac:dyDescent="0.2">
      <c r="A11" t="s">
        <v>115</v>
      </c>
      <c r="B11" s="49"/>
      <c r="C11" s="49"/>
      <c r="D11" s="49"/>
      <c r="E11" s="49"/>
      <c r="F11" s="50"/>
      <c r="G11" s="50"/>
      <c r="H11" s="51"/>
      <c r="I11" s="11">
        <f>SUM(I6:I10)</f>
        <v>1236348.0889580313</v>
      </c>
      <c r="J11" s="11">
        <f t="shared" ref="J11:R11" si="11">SUM(J6:J10)</f>
        <v>1223792.2978057358</v>
      </c>
      <c r="K11" s="11">
        <f t="shared" si="11"/>
        <v>1211162.3739501841</v>
      </c>
      <c r="L11" s="11">
        <f t="shared" si="11"/>
        <v>1198468.316197939</v>
      </c>
      <c r="M11" s="11">
        <f>SUM(M6:M10)</f>
        <v>1185719.7038469433</v>
      </c>
      <c r="N11" s="11">
        <f t="shared" si="11"/>
        <v>1172925.7106666164</v>
      </c>
      <c r="O11" s="11">
        <f t="shared" si="11"/>
        <v>1160095.1184574233</v>
      </c>
      <c r="P11" s="11">
        <f t="shared" si="11"/>
        <v>1147236.3302018566</v>
      </c>
      <c r="Q11" s="11">
        <f t="shared" si="11"/>
        <v>1134357.3828184318</v>
      </c>
      <c r="R11" s="11">
        <f t="shared" si="11"/>
        <v>1121465.9595299931</v>
      </c>
    </row>
    <row r="12" spans="1:21" ht="17" customHeight="1" x14ac:dyDescent="0.2">
      <c r="A12" t="s">
        <v>116</v>
      </c>
      <c r="B12" s="49"/>
      <c r="C12" s="49"/>
      <c r="D12" s="49"/>
      <c r="E12" s="49">
        <f>E9+E6</f>
        <v>691083</v>
      </c>
      <c r="F12" s="50"/>
      <c r="G12" s="50"/>
      <c r="H12" s="51"/>
      <c r="I12" s="54">
        <f>I9+I6</f>
        <v>750000</v>
      </c>
      <c r="J12" s="54">
        <f>I12</f>
        <v>750000</v>
      </c>
      <c r="K12" s="54">
        <f>J12</f>
        <v>750000</v>
      </c>
      <c r="L12" s="54">
        <f t="shared" ref="L12:R12" si="12">L9+L6</f>
        <v>750000</v>
      </c>
      <c r="M12" s="54">
        <f t="shared" si="12"/>
        <v>745719.70384694333</v>
      </c>
      <c r="N12" s="54">
        <f t="shared" si="12"/>
        <v>732925.71066661645</v>
      </c>
      <c r="O12" s="54">
        <f t="shared" si="12"/>
        <v>720095.11845742329</v>
      </c>
      <c r="P12" s="54">
        <f t="shared" si="12"/>
        <v>707236.33020185656</v>
      </c>
      <c r="Q12" s="54">
        <f t="shared" si="12"/>
        <v>694357.38281843183</v>
      </c>
      <c r="R12" s="54">
        <f t="shared" si="12"/>
        <v>681465.95952999312</v>
      </c>
      <c r="S12" t="s">
        <v>31</v>
      </c>
      <c r="T12" t="s">
        <v>117</v>
      </c>
    </row>
    <row r="13" spans="1:21" x14ac:dyDescent="0.2">
      <c r="A13" t="s">
        <v>11</v>
      </c>
      <c r="B13" s="4">
        <f>SUM(B6:B10)</f>
        <v>1414000</v>
      </c>
      <c r="C13" s="4">
        <f>SUM(C6:C10)</f>
        <v>1266090</v>
      </c>
      <c r="D13" s="4">
        <f>SUM(D6:D10)</f>
        <v>1258550</v>
      </c>
      <c r="E13" s="4">
        <f>SUM(E6:E10)</f>
        <v>1275604</v>
      </c>
      <c r="F13" s="7">
        <f>E13/B13-1</f>
        <v>-9.7875530410183931E-2</v>
      </c>
      <c r="G13" s="7"/>
      <c r="H13" s="8">
        <f t="shared" si="5"/>
        <v>-8.1562942008486603E-3</v>
      </c>
      <c r="I13" s="4">
        <f t="shared" ref="I13:R13" si="13">I3*I4</f>
        <v>1236348.0889580313</v>
      </c>
      <c r="J13" s="4">
        <f t="shared" si="13"/>
        <v>1223792.2978057358</v>
      </c>
      <c r="K13" s="4">
        <f t="shared" si="13"/>
        <v>1211162.3739501841</v>
      </c>
      <c r="L13" s="4">
        <f t="shared" si="13"/>
        <v>1198468.316197939</v>
      </c>
      <c r="M13" s="4">
        <f t="shared" si="13"/>
        <v>1185719.7038469433</v>
      </c>
      <c r="N13" s="4">
        <f t="shared" si="13"/>
        <v>1172925.7106666164</v>
      </c>
      <c r="O13" s="4">
        <f t="shared" si="13"/>
        <v>1160095.1184574233</v>
      </c>
      <c r="P13" s="4">
        <f t="shared" si="13"/>
        <v>1147236.3302018566</v>
      </c>
      <c r="Q13" s="4">
        <f t="shared" si="13"/>
        <v>1134357.3828184318</v>
      </c>
      <c r="R13" s="4">
        <f t="shared" si="13"/>
        <v>1121465.9595299931</v>
      </c>
      <c r="S13" s="13">
        <f>SUM(I13:R13)</f>
        <v>11791571.282433156</v>
      </c>
      <c r="T13" t="s">
        <v>120</v>
      </c>
    </row>
    <row r="14" spans="1:21" s="21" customFormat="1" ht="17" customHeight="1" x14ac:dyDescent="0.2">
      <c r="A14" s="16" t="s">
        <v>13</v>
      </c>
      <c r="B14" s="17"/>
      <c r="C14" s="17"/>
      <c r="D14" s="17"/>
      <c r="E14" s="17"/>
      <c r="F14" s="18"/>
      <c r="G14" s="18"/>
      <c r="H14" s="19"/>
      <c r="I14" s="20"/>
      <c r="J14" s="20"/>
      <c r="K14" s="20"/>
      <c r="L14" s="20"/>
      <c r="M14" s="20"/>
      <c r="N14" s="20"/>
      <c r="O14" s="20"/>
      <c r="P14" s="20"/>
      <c r="Q14" s="20"/>
      <c r="R14" s="20"/>
    </row>
    <row r="15" spans="1:21" x14ac:dyDescent="0.2">
      <c r="A15" s="10" t="s">
        <v>8</v>
      </c>
      <c r="B15" s="4"/>
      <c r="C15" s="4"/>
      <c r="D15" s="4"/>
      <c r="E15" s="4"/>
      <c r="F15" s="7"/>
      <c r="G15" s="7"/>
      <c r="H15" s="8"/>
      <c r="I15" s="11">
        <f>I6</f>
        <v>580901.50889749289</v>
      </c>
      <c r="J15" s="11">
        <f t="shared" ref="J15:R15" si="14">750000-J18</f>
        <v>584778.33833038015</v>
      </c>
      <c r="K15" s="11">
        <f t="shared" si="14"/>
        <v>588566.28579658805</v>
      </c>
      <c r="L15" s="11">
        <f t="shared" si="14"/>
        <v>592267.38904478145</v>
      </c>
      <c r="M15" s="11">
        <f t="shared" si="14"/>
        <v>595883.63910526631</v>
      </c>
      <c r="N15" s="11">
        <f t="shared" si="14"/>
        <v>599416.98136107624</v>
      </c>
      <c r="O15" s="11">
        <f t="shared" si="14"/>
        <v>602869.31659450242</v>
      </c>
      <c r="P15" s="11">
        <f t="shared" si="14"/>
        <v>606242.50200963113</v>
      </c>
      <c r="Q15" s="11">
        <f t="shared" si="14"/>
        <v>609538.35223143722</v>
      </c>
      <c r="R15" s="11">
        <f t="shared" si="14"/>
        <v>612758.64028197282</v>
      </c>
    </row>
    <row r="16" spans="1:21" x14ac:dyDescent="0.2">
      <c r="A16" s="10" t="s">
        <v>89</v>
      </c>
      <c r="B16" s="4"/>
      <c r="C16" s="4"/>
      <c r="D16" s="4"/>
      <c r="E16" s="4"/>
      <c r="F16" s="7"/>
      <c r="G16" s="7"/>
      <c r="H16" s="8"/>
      <c r="I16" s="54">
        <v>250000</v>
      </c>
      <c r="J16" s="12"/>
      <c r="K16" s="12"/>
      <c r="L16" s="12"/>
      <c r="M16" s="12"/>
      <c r="N16" s="12"/>
      <c r="O16" s="12"/>
      <c r="P16" s="12"/>
      <c r="Q16" s="12"/>
      <c r="R16" s="12"/>
    </row>
    <row r="17" spans="1:20" x14ac:dyDescent="0.2">
      <c r="A17" s="10" t="s">
        <v>9</v>
      </c>
      <c r="B17" s="4"/>
      <c r="C17" s="4"/>
      <c r="D17" s="4"/>
      <c r="E17" s="4"/>
      <c r="F17" s="7"/>
      <c r="G17" s="7"/>
      <c r="H17" s="8"/>
      <c r="I17" s="58">
        <f>I8</f>
        <v>46348.088958031265</v>
      </c>
      <c r="J17" s="58">
        <f>J22-J15-J19</f>
        <v>449013.95947535569</v>
      </c>
      <c r="K17" s="58">
        <f t="shared" ref="K17:R17" si="15">K22-K15-K19</f>
        <v>432596.08815359604</v>
      </c>
      <c r="L17" s="58">
        <f t="shared" si="15"/>
        <v>416200.92715315754</v>
      </c>
      <c r="M17" s="58">
        <f t="shared" si="15"/>
        <v>399836.06474167702</v>
      </c>
      <c r="N17" s="58">
        <f t="shared" si="15"/>
        <v>383508.72930554021</v>
      </c>
      <c r="O17" s="58">
        <f t="shared" si="15"/>
        <v>367225.80186292087</v>
      </c>
      <c r="P17" s="58">
        <f t="shared" si="15"/>
        <v>350993.82819222542</v>
      </c>
      <c r="Q17" s="58">
        <f t="shared" si="15"/>
        <v>334819.0305869946</v>
      </c>
      <c r="R17" s="58">
        <f t="shared" si="15"/>
        <v>318707.3192480203</v>
      </c>
    </row>
    <row r="18" spans="1:20" x14ac:dyDescent="0.2">
      <c r="A18" s="14" t="s">
        <v>111</v>
      </c>
      <c r="B18" s="49"/>
      <c r="C18" s="49"/>
      <c r="D18" s="49"/>
      <c r="E18" s="4"/>
      <c r="F18" s="50"/>
      <c r="G18" s="50"/>
      <c r="H18" s="51"/>
      <c r="I18" s="13">
        <f>I9</f>
        <v>169098.49110250713</v>
      </c>
      <c r="J18" s="13">
        <f t="shared" ref="J18:R18" si="16">J9</f>
        <v>165221.66166961991</v>
      </c>
      <c r="K18" s="13">
        <f t="shared" si="16"/>
        <v>161433.714203412</v>
      </c>
      <c r="L18" s="13">
        <f t="shared" si="16"/>
        <v>157732.61095521858</v>
      </c>
      <c r="M18" s="13">
        <f t="shared" si="16"/>
        <v>154116.36089473369</v>
      </c>
      <c r="N18" s="13">
        <f t="shared" si="16"/>
        <v>150583.01863892382</v>
      </c>
      <c r="O18" s="13">
        <f t="shared" si="16"/>
        <v>147130.68340549764</v>
      </c>
      <c r="P18" s="13">
        <f t="shared" si="16"/>
        <v>143757.49799036892</v>
      </c>
      <c r="Q18" s="13">
        <f t="shared" si="16"/>
        <v>140461.64776856275</v>
      </c>
      <c r="R18" s="13">
        <f t="shared" si="16"/>
        <v>137241.35971802715</v>
      </c>
      <c r="T18" s="55" t="s">
        <v>118</v>
      </c>
    </row>
    <row r="19" spans="1:20" ht="17" customHeight="1" x14ac:dyDescent="0.2">
      <c r="A19" s="14" t="s">
        <v>10</v>
      </c>
      <c r="B19" s="4"/>
      <c r="C19" s="4"/>
      <c r="D19" s="4"/>
      <c r="E19" s="4"/>
      <c r="F19" s="7"/>
      <c r="G19" s="7"/>
      <c r="H19" s="8"/>
      <c r="I19" s="54">
        <f>I10</f>
        <v>190000</v>
      </c>
      <c r="J19" s="54">
        <f>I19</f>
        <v>190000</v>
      </c>
      <c r="K19" s="54">
        <f t="shared" ref="K19:R19" si="17">J19</f>
        <v>190000</v>
      </c>
      <c r="L19" s="54">
        <f t="shared" si="17"/>
        <v>190000</v>
      </c>
      <c r="M19" s="54">
        <f t="shared" si="17"/>
        <v>190000</v>
      </c>
      <c r="N19" s="54">
        <f t="shared" si="17"/>
        <v>190000</v>
      </c>
      <c r="O19" s="54">
        <f t="shared" si="17"/>
        <v>190000</v>
      </c>
      <c r="P19" s="54">
        <f t="shared" si="17"/>
        <v>190000</v>
      </c>
      <c r="Q19" s="54">
        <f t="shared" si="17"/>
        <v>190000</v>
      </c>
      <c r="R19" s="54">
        <f t="shared" si="17"/>
        <v>190000</v>
      </c>
      <c r="T19" t="s">
        <v>117</v>
      </c>
    </row>
    <row r="20" spans="1:20" ht="17" customHeight="1" x14ac:dyDescent="0.2">
      <c r="A20" t="s">
        <v>115</v>
      </c>
      <c r="B20" s="49"/>
      <c r="C20" s="49"/>
      <c r="D20" s="49"/>
      <c r="E20" s="49"/>
      <c r="F20" s="50"/>
      <c r="G20" s="50"/>
      <c r="H20" s="51"/>
      <c r="I20" s="11">
        <f>SUM(I15:I19)</f>
        <v>1236348.0889580313</v>
      </c>
      <c r="J20" s="11">
        <f t="shared" ref="J20:R20" si="18">SUM(J15:J19)</f>
        <v>1389013.9594753557</v>
      </c>
      <c r="K20" s="11">
        <f t="shared" si="18"/>
        <v>1372596.088153596</v>
      </c>
      <c r="L20" s="11">
        <f t="shared" si="18"/>
        <v>1356200.9271531575</v>
      </c>
      <c r="M20" s="11">
        <f t="shared" si="18"/>
        <v>1339836.0647416771</v>
      </c>
      <c r="N20" s="11">
        <f t="shared" si="18"/>
        <v>1323508.7293055402</v>
      </c>
      <c r="O20" s="11">
        <f t="shared" si="18"/>
        <v>1307225.8018629209</v>
      </c>
      <c r="P20" s="11">
        <f t="shared" si="18"/>
        <v>1290993.8281922254</v>
      </c>
      <c r="Q20" s="11">
        <f t="shared" si="18"/>
        <v>1274819.0305869945</v>
      </c>
      <c r="R20" s="11">
        <f t="shared" si="18"/>
        <v>1258707.3192480202</v>
      </c>
    </row>
    <row r="21" spans="1:20" ht="17" customHeight="1" x14ac:dyDescent="0.2">
      <c r="A21" t="s">
        <v>116</v>
      </c>
      <c r="B21" s="49"/>
      <c r="C21" s="49"/>
      <c r="D21" s="49"/>
      <c r="E21" s="49">
        <f>E18+E15</f>
        <v>0</v>
      </c>
      <c r="F21" s="50"/>
      <c r="G21" s="50"/>
      <c r="H21" s="51"/>
      <c r="I21" s="54">
        <f>I18+I15</f>
        <v>750000</v>
      </c>
      <c r="J21" s="54">
        <f>I21</f>
        <v>750000</v>
      </c>
      <c r="K21" s="54">
        <f>J21</f>
        <v>750000</v>
      </c>
      <c r="L21" s="54">
        <f t="shared" ref="L21:R21" si="19">L18+L15</f>
        <v>750000</v>
      </c>
      <c r="M21" s="54">
        <f t="shared" si="19"/>
        <v>750000</v>
      </c>
      <c r="N21" s="54">
        <f t="shared" si="19"/>
        <v>750000</v>
      </c>
      <c r="O21" s="54">
        <f t="shared" si="19"/>
        <v>750000</v>
      </c>
      <c r="P21" s="54">
        <f t="shared" si="19"/>
        <v>750000</v>
      </c>
      <c r="Q21" s="54">
        <f t="shared" si="19"/>
        <v>750000</v>
      </c>
      <c r="R21" s="54">
        <f t="shared" si="19"/>
        <v>750000</v>
      </c>
      <c r="S21" t="s">
        <v>31</v>
      </c>
      <c r="T21" t="s">
        <v>117</v>
      </c>
    </row>
    <row r="22" spans="1:20" x14ac:dyDescent="0.2">
      <c r="A22" t="s">
        <v>11</v>
      </c>
      <c r="B22" s="4"/>
      <c r="C22" s="4"/>
      <c r="D22" s="4"/>
      <c r="E22" s="4"/>
      <c r="F22" s="7"/>
      <c r="G22" s="7"/>
      <c r="H22" s="8"/>
      <c r="I22" s="4">
        <f>I13</f>
        <v>1236348.0889580313</v>
      </c>
      <c r="J22" s="4">
        <f t="shared" ref="J22:R22" si="20">J4*J3</f>
        <v>1223792.2978057358</v>
      </c>
      <c r="K22" s="4">
        <f t="shared" si="20"/>
        <v>1211162.3739501841</v>
      </c>
      <c r="L22" s="4">
        <f t="shared" si="20"/>
        <v>1198468.316197939</v>
      </c>
      <c r="M22" s="56">
        <f t="shared" si="20"/>
        <v>1185719.7038469433</v>
      </c>
      <c r="N22" s="56">
        <f t="shared" si="20"/>
        <v>1172925.7106666164</v>
      </c>
      <c r="O22" s="56">
        <f t="shared" si="20"/>
        <v>1160095.1184574233</v>
      </c>
      <c r="P22" s="56">
        <f t="shared" si="20"/>
        <v>1147236.3302018566</v>
      </c>
      <c r="Q22" s="56">
        <f t="shared" si="20"/>
        <v>1134357.3828184318</v>
      </c>
      <c r="R22" s="56">
        <f t="shared" si="20"/>
        <v>1121465.9595299931</v>
      </c>
      <c r="S22" s="13">
        <f>SUM(I22:R22)</f>
        <v>11791571.282433156</v>
      </c>
      <c r="T22" t="s">
        <v>121</v>
      </c>
    </row>
    <row r="23" spans="1:20" s="21" customFormat="1" ht="17" customHeight="1" x14ac:dyDescent="0.2">
      <c r="A23" s="16" t="s">
        <v>15</v>
      </c>
      <c r="B23" s="17"/>
      <c r="C23" s="17"/>
      <c r="D23" s="17"/>
      <c r="E23" s="17"/>
      <c r="F23" s="18"/>
      <c r="G23" s="18"/>
      <c r="H23" s="19"/>
      <c r="I23" s="20"/>
      <c r="J23" s="20"/>
      <c r="K23" s="20"/>
      <c r="L23" s="20"/>
      <c r="M23" s="11"/>
      <c r="N23" s="11"/>
      <c r="O23" s="11"/>
      <c r="P23" s="11"/>
      <c r="Q23" s="11"/>
      <c r="R23" s="11"/>
    </row>
    <row r="24" spans="1:20" ht="18" customHeight="1" x14ac:dyDescent="0.2">
      <c r="A24" t="s">
        <v>7</v>
      </c>
      <c r="B24" s="6"/>
      <c r="C24" s="6"/>
      <c r="D24" s="6"/>
      <c r="E24" s="6"/>
      <c r="F24" s="7"/>
      <c r="G24" s="7"/>
      <c r="H24" s="35">
        <f>H134</f>
        <v>-0.05</v>
      </c>
      <c r="I24" s="9">
        <f>I4</f>
        <v>0.38023006328864567</v>
      </c>
      <c r="J24" s="9">
        <f>I24*(1+$H$24)</f>
        <v>0.36121856012421338</v>
      </c>
      <c r="K24" s="9">
        <f t="shared" ref="K24:R24" si="21">J24*(1+$H$24)</f>
        <v>0.34315763211800271</v>
      </c>
      <c r="L24" s="9">
        <f t="shared" si="21"/>
        <v>0.32599975051210256</v>
      </c>
      <c r="M24" s="9">
        <f t="shared" si="21"/>
        <v>0.30969976298649743</v>
      </c>
      <c r="N24" s="9">
        <f t="shared" si="21"/>
        <v>0.29421477483717257</v>
      </c>
      <c r="O24" s="9">
        <f t="shared" si="21"/>
        <v>0.27950403609531393</v>
      </c>
      <c r="P24" s="9">
        <f t="shared" si="21"/>
        <v>0.26552883429054824</v>
      </c>
      <c r="Q24" s="9">
        <f t="shared" si="21"/>
        <v>0.25225239257602083</v>
      </c>
      <c r="R24" s="9">
        <f t="shared" si="21"/>
        <v>0.23963977294721978</v>
      </c>
    </row>
    <row r="25" spans="1:20" x14ac:dyDescent="0.2">
      <c r="A25" s="10" t="s">
        <v>8</v>
      </c>
      <c r="B25" s="4"/>
      <c r="C25" s="4"/>
      <c r="D25" s="4"/>
      <c r="E25" s="4"/>
      <c r="F25" s="7"/>
      <c r="G25" s="7"/>
      <c r="H25" s="8"/>
      <c r="I25" s="11">
        <f>I6</f>
        <v>580901.50889749289</v>
      </c>
      <c r="J25" s="11">
        <f>750000-J28</f>
        <v>589356.43345261819</v>
      </c>
      <c r="K25" s="11">
        <f t="shared" ref="K25:P25" si="22">750000-K28</f>
        <v>597388.61177998735</v>
      </c>
      <c r="L25" s="11">
        <f t="shared" si="22"/>
        <v>605019.18119098793</v>
      </c>
      <c r="M25" s="11">
        <f t="shared" si="22"/>
        <v>612268.22213143855</v>
      </c>
      <c r="N25" s="11">
        <f t="shared" si="22"/>
        <v>619154.81102486665</v>
      </c>
      <c r="O25" s="11">
        <f t="shared" si="22"/>
        <v>625697.07047362335</v>
      </c>
      <c r="P25" s="11">
        <f t="shared" si="22"/>
        <v>631912.21694994217</v>
      </c>
      <c r="Q25" s="11">
        <f>Q32-Q28-Q29</f>
        <v>603801.00197823741</v>
      </c>
      <c r="R25" s="11">
        <f>R32-R28-R29</f>
        <v>574295.6422295823</v>
      </c>
    </row>
    <row r="26" spans="1:20" x14ac:dyDescent="0.2">
      <c r="A26" s="10" t="s">
        <v>89</v>
      </c>
      <c r="B26" s="4"/>
      <c r="C26" s="4"/>
      <c r="D26" s="4"/>
      <c r="E26" s="4"/>
      <c r="F26" s="7"/>
      <c r="G26" s="7"/>
      <c r="H26" s="8"/>
      <c r="I26" s="54">
        <v>250000</v>
      </c>
      <c r="J26" s="12"/>
      <c r="K26" s="12"/>
      <c r="L26" s="12"/>
      <c r="M26" s="12"/>
      <c r="N26" s="12"/>
      <c r="O26" s="12"/>
      <c r="P26" s="12"/>
      <c r="Q26" s="12"/>
      <c r="R26" s="12"/>
    </row>
    <row r="27" spans="1:20" x14ac:dyDescent="0.2">
      <c r="A27" s="10" t="s">
        <v>9</v>
      </c>
      <c r="B27" s="4"/>
      <c r="C27" s="4"/>
      <c r="D27" s="4"/>
      <c r="E27" s="4"/>
      <c r="F27" s="7"/>
      <c r="G27" s="7"/>
      <c r="H27" s="8"/>
      <c r="I27" s="58">
        <f>I8</f>
        <v>46348.088958031265</v>
      </c>
      <c r="J27" s="58">
        <f>J32-J25-J28-J29</f>
        <v>249882.47331540869</v>
      </c>
      <c r="K27" s="58">
        <f t="shared" ref="K27:P27" si="23">K32-K25-K28-K29</f>
        <v>204972.54901465331</v>
      </c>
      <c r="L27" s="58">
        <f t="shared" si="23"/>
        <v>161578.910960685</v>
      </c>
      <c r="M27" s="58">
        <f t="shared" si="23"/>
        <v>119662.20533957682</v>
      </c>
      <c r="N27" s="58">
        <f t="shared" si="23"/>
        <v>79183.223003177904</v>
      </c>
      <c r="O27" s="58">
        <f t="shared" si="23"/>
        <v>40102.983387069893</v>
      </c>
      <c r="P27" s="58">
        <f t="shared" si="23"/>
        <v>2382.8096750646364</v>
      </c>
      <c r="Q27" s="58"/>
      <c r="R27" s="58"/>
    </row>
    <row r="28" spans="1:20" x14ac:dyDescent="0.2">
      <c r="A28" s="14" t="s">
        <v>111</v>
      </c>
      <c r="B28" s="49"/>
      <c r="C28" s="49"/>
      <c r="D28" s="49"/>
      <c r="E28" s="4"/>
      <c r="F28" s="50"/>
      <c r="G28" s="50"/>
      <c r="H28" s="51"/>
      <c r="I28" s="13">
        <f>I9</f>
        <v>169098.49110250713</v>
      </c>
      <c r="J28" s="11">
        <f>I28*(1+$H$24)</f>
        <v>160643.56654738178</v>
      </c>
      <c r="K28" s="11">
        <f t="shared" ref="K28:R28" si="24">J28*(1+$H$24)</f>
        <v>152611.38822001268</v>
      </c>
      <c r="L28" s="11">
        <f t="shared" si="24"/>
        <v>144980.81880901204</v>
      </c>
      <c r="M28" s="11">
        <f t="shared" si="24"/>
        <v>137731.77786856142</v>
      </c>
      <c r="N28" s="11">
        <f t="shared" si="24"/>
        <v>130845.18897513334</v>
      </c>
      <c r="O28" s="11">
        <f t="shared" si="24"/>
        <v>124302.92952637667</v>
      </c>
      <c r="P28" s="11">
        <f t="shared" si="24"/>
        <v>118087.78305005783</v>
      </c>
      <c r="Q28" s="11">
        <f t="shared" si="24"/>
        <v>112183.39389755492</v>
      </c>
      <c r="R28" s="11">
        <f t="shared" si="24"/>
        <v>106574.22420267717</v>
      </c>
      <c r="T28" s="55" t="s">
        <v>118</v>
      </c>
    </row>
    <row r="29" spans="1:20" x14ac:dyDescent="0.2">
      <c r="A29" s="14" t="s">
        <v>10</v>
      </c>
      <c r="B29" s="4"/>
      <c r="C29" s="4"/>
      <c r="D29" s="4"/>
      <c r="E29" s="4"/>
      <c r="F29" s="7"/>
      <c r="G29" s="7"/>
      <c r="H29" s="8"/>
      <c r="I29" s="54">
        <f>I10</f>
        <v>190000</v>
      </c>
      <c r="J29" s="54">
        <f>I29</f>
        <v>190000</v>
      </c>
      <c r="K29" s="54">
        <f t="shared" ref="K29:R29" si="25">J29</f>
        <v>190000</v>
      </c>
      <c r="L29" s="54">
        <f t="shared" si="25"/>
        <v>190000</v>
      </c>
      <c r="M29" s="54">
        <f t="shared" si="25"/>
        <v>190000</v>
      </c>
      <c r="N29" s="54">
        <f t="shared" si="25"/>
        <v>190000</v>
      </c>
      <c r="O29" s="54">
        <f t="shared" si="25"/>
        <v>190000</v>
      </c>
      <c r="P29" s="54">
        <f t="shared" si="25"/>
        <v>190000</v>
      </c>
      <c r="Q29" s="54">
        <f t="shared" si="25"/>
        <v>190000</v>
      </c>
      <c r="R29" s="54">
        <f t="shared" si="25"/>
        <v>190000</v>
      </c>
      <c r="T29" t="s">
        <v>117</v>
      </c>
    </row>
    <row r="30" spans="1:20" ht="17" customHeight="1" x14ac:dyDescent="0.2">
      <c r="A30" t="s">
        <v>115</v>
      </c>
      <c r="B30" s="49"/>
      <c r="C30" s="49"/>
      <c r="D30" s="49"/>
      <c r="E30" s="49"/>
      <c r="F30" s="50"/>
      <c r="G30" s="50"/>
      <c r="H30" s="51"/>
      <c r="I30" s="11">
        <f>SUM(I25:I29)</f>
        <v>1236348.0889580313</v>
      </c>
      <c r="J30" s="11">
        <f>SUM(J25:J29)</f>
        <v>1189882.4733154087</v>
      </c>
      <c r="K30" s="11">
        <f>SUM(K25:K29)</f>
        <v>1144972.5490146533</v>
      </c>
      <c r="L30" s="11">
        <f t="shared" ref="L30" si="26">SUM(L25:L29)</f>
        <v>1101578.910960685</v>
      </c>
      <c r="M30" s="11">
        <f>SUM(M25:M29)</f>
        <v>1059662.2053395768</v>
      </c>
      <c r="N30" s="11">
        <f t="shared" ref="N30:R30" si="27">SUM(N25:N29)</f>
        <v>1019183.2230031779</v>
      </c>
      <c r="O30" s="11">
        <f t="shared" si="27"/>
        <v>980102.98338706989</v>
      </c>
      <c r="P30" s="11">
        <f t="shared" si="27"/>
        <v>942382.80967506464</v>
      </c>
      <c r="Q30" s="11">
        <f t="shared" si="27"/>
        <v>905984.39587579237</v>
      </c>
      <c r="R30" s="11">
        <f t="shared" si="27"/>
        <v>870869.86643225944</v>
      </c>
    </row>
    <row r="31" spans="1:20" ht="17" customHeight="1" x14ac:dyDescent="0.2">
      <c r="A31" t="s">
        <v>116</v>
      </c>
      <c r="B31" s="49"/>
      <c r="C31" s="49"/>
      <c r="D31" s="49"/>
      <c r="E31" s="49">
        <f>E28+E25</f>
        <v>0</v>
      </c>
      <c r="F31" s="50"/>
      <c r="G31" s="50"/>
      <c r="H31" s="51"/>
      <c r="I31" s="54">
        <f>I28+I25</f>
        <v>750000</v>
      </c>
      <c r="J31" s="54">
        <f>I31</f>
        <v>750000</v>
      </c>
      <c r="K31" s="54">
        <f>J31</f>
        <v>750000</v>
      </c>
      <c r="L31" s="54">
        <f t="shared" ref="L31:R31" si="28">L28+L25</f>
        <v>750000</v>
      </c>
      <c r="M31" s="54">
        <f t="shared" si="28"/>
        <v>750000</v>
      </c>
      <c r="N31" s="54">
        <f t="shared" si="28"/>
        <v>750000</v>
      </c>
      <c r="O31" s="54">
        <f t="shared" si="28"/>
        <v>750000</v>
      </c>
      <c r="P31" s="54">
        <f t="shared" si="28"/>
        <v>750000</v>
      </c>
      <c r="Q31" s="54">
        <f t="shared" si="28"/>
        <v>715984.39587579237</v>
      </c>
      <c r="R31" s="54">
        <f t="shared" si="28"/>
        <v>680869.86643225944</v>
      </c>
      <c r="S31" t="s">
        <v>31</v>
      </c>
      <c r="T31" t="s">
        <v>117</v>
      </c>
    </row>
    <row r="32" spans="1:20" x14ac:dyDescent="0.2">
      <c r="A32" t="s">
        <v>11</v>
      </c>
      <c r="B32" s="4"/>
      <c r="C32" s="4"/>
      <c r="D32" s="4"/>
      <c r="E32" s="4"/>
      <c r="F32" s="7"/>
      <c r="G32" s="7"/>
      <c r="H32" s="8"/>
      <c r="I32" s="4">
        <f>I13</f>
        <v>1236348.0889580313</v>
      </c>
      <c r="J32" s="4">
        <f t="shared" ref="J32:R32" si="29">J24*J3</f>
        <v>1189882.4733154087</v>
      </c>
      <c r="K32" s="4">
        <f t="shared" si="29"/>
        <v>1144972.5490146533</v>
      </c>
      <c r="L32" s="4">
        <f t="shared" si="29"/>
        <v>1101578.910960685</v>
      </c>
      <c r="M32" s="4">
        <f t="shared" si="29"/>
        <v>1059662.2053395768</v>
      </c>
      <c r="N32" s="4">
        <f t="shared" si="29"/>
        <v>1019183.2230031779</v>
      </c>
      <c r="O32" s="4">
        <f t="shared" si="29"/>
        <v>980102.98338706989</v>
      </c>
      <c r="P32" s="4">
        <f t="shared" si="29"/>
        <v>942382.80967506464</v>
      </c>
      <c r="Q32" s="4">
        <f t="shared" si="29"/>
        <v>905984.39587579237</v>
      </c>
      <c r="R32" s="4">
        <f t="shared" si="29"/>
        <v>870869.86643225944</v>
      </c>
      <c r="S32" s="13">
        <f>SUM(I32:R32)</f>
        <v>10450967.50596172</v>
      </c>
    </row>
    <row r="33" spans="1:21" x14ac:dyDescent="0.2">
      <c r="A33" t="s">
        <v>14</v>
      </c>
      <c r="M33" s="46"/>
      <c r="N33" s="46"/>
      <c r="O33" s="46"/>
      <c r="P33" s="46"/>
      <c r="Q33" s="46"/>
      <c r="R33" s="46"/>
      <c r="T33" t="s">
        <v>121</v>
      </c>
    </row>
    <row r="34" spans="1:21" s="21" customFormat="1" ht="17" customHeight="1" x14ac:dyDescent="0.2">
      <c r="A34" s="16" t="s">
        <v>101</v>
      </c>
      <c r="B34" s="17"/>
      <c r="C34" s="17"/>
      <c r="D34" s="17"/>
      <c r="E34" s="17"/>
      <c r="F34" s="18"/>
      <c r="G34" s="18"/>
      <c r="H34" s="19"/>
      <c r="I34" s="20"/>
      <c r="J34" s="20"/>
      <c r="K34" s="20"/>
      <c r="L34" s="20"/>
      <c r="M34" s="11"/>
      <c r="N34" s="11"/>
      <c r="O34" s="11"/>
      <c r="P34" s="11"/>
      <c r="Q34" s="11"/>
      <c r="R34" s="11"/>
    </row>
    <row r="35" spans="1:21" ht="18" customHeight="1" x14ac:dyDescent="0.2">
      <c r="A35" t="s">
        <v>7</v>
      </c>
      <c r="B35" s="6"/>
      <c r="C35" s="6"/>
      <c r="D35" s="6"/>
      <c r="E35" s="6"/>
      <c r="F35" s="7"/>
      <c r="G35" s="7"/>
      <c r="H35" s="35">
        <f>H24</f>
        <v>-0.05</v>
      </c>
      <c r="I35" s="9">
        <f>I24</f>
        <v>0.38023006328864567</v>
      </c>
      <c r="J35" s="9">
        <f>I35*(1+$H$24)</f>
        <v>0.36121856012421338</v>
      </c>
      <c r="K35" s="9">
        <f t="shared" ref="K35:R35" si="30">J35*(1+$H$24)</f>
        <v>0.34315763211800271</v>
      </c>
      <c r="L35" s="9">
        <f t="shared" si="30"/>
        <v>0.32599975051210256</v>
      </c>
      <c r="M35" s="9">
        <f t="shared" si="30"/>
        <v>0.30969976298649743</v>
      </c>
      <c r="N35" s="9">
        <f t="shared" si="30"/>
        <v>0.29421477483717257</v>
      </c>
      <c r="O35" s="9">
        <f t="shared" si="30"/>
        <v>0.27950403609531393</v>
      </c>
      <c r="P35" s="9">
        <f t="shared" si="30"/>
        <v>0.26552883429054824</v>
      </c>
      <c r="Q35" s="9">
        <f t="shared" si="30"/>
        <v>0.25225239257602083</v>
      </c>
      <c r="R35" s="9">
        <f t="shared" si="30"/>
        <v>0.23963977294721978</v>
      </c>
    </row>
    <row r="36" spans="1:21" x14ac:dyDescent="0.2">
      <c r="A36" s="10" t="s">
        <v>8</v>
      </c>
      <c r="B36" s="4"/>
      <c r="C36" s="4"/>
      <c r="D36" s="4"/>
      <c r="E36" s="4"/>
      <c r="F36" s="7"/>
      <c r="G36" s="7"/>
      <c r="H36" s="8"/>
      <c r="I36" s="11">
        <f>I6</f>
        <v>580901.50889749289</v>
      </c>
      <c r="J36" s="11">
        <f>J43-J37-J39-J40</f>
        <v>589238.90676802688</v>
      </c>
      <c r="K36" s="11">
        <f t="shared" ref="K36:R36" si="31">K43-K37-K39-K40</f>
        <v>552361.16079464066</v>
      </c>
      <c r="L36" s="11">
        <f t="shared" si="31"/>
        <v>516598.09215167293</v>
      </c>
      <c r="M36" s="11">
        <f t="shared" si="31"/>
        <v>481930.42747101537</v>
      </c>
      <c r="N36" s="11">
        <f t="shared" si="31"/>
        <v>448338.03402804455</v>
      </c>
      <c r="O36" s="11">
        <f t="shared" si="31"/>
        <v>415800.05386069324</v>
      </c>
      <c r="P36" s="11">
        <f t="shared" si="31"/>
        <v>384295.02662500681</v>
      </c>
      <c r="Q36" s="11">
        <f t="shared" si="31"/>
        <v>353801.00197823741</v>
      </c>
      <c r="R36" s="11">
        <f t="shared" si="31"/>
        <v>324295.6422295823</v>
      </c>
      <c r="S36" t="s">
        <v>88</v>
      </c>
    </row>
    <row r="37" spans="1:21" x14ac:dyDescent="0.2">
      <c r="A37" s="10" t="s">
        <v>89</v>
      </c>
      <c r="B37" s="4"/>
      <c r="C37" s="4"/>
      <c r="D37" s="4"/>
      <c r="E37" s="4"/>
      <c r="F37" s="7"/>
      <c r="G37" s="7"/>
      <c r="H37" s="8"/>
      <c r="I37" s="54">
        <v>250000</v>
      </c>
      <c r="J37" s="54">
        <f>I37</f>
        <v>250000</v>
      </c>
      <c r="K37" s="54">
        <f t="shared" ref="K37:R37" si="32">J37</f>
        <v>250000</v>
      </c>
      <c r="L37" s="54">
        <f t="shared" si="32"/>
        <v>250000</v>
      </c>
      <c r="M37" s="54">
        <f t="shared" si="32"/>
        <v>250000</v>
      </c>
      <c r="N37" s="54">
        <f t="shared" si="32"/>
        <v>250000</v>
      </c>
      <c r="O37" s="54">
        <f t="shared" si="32"/>
        <v>250000</v>
      </c>
      <c r="P37" s="54">
        <f t="shared" si="32"/>
        <v>250000</v>
      </c>
      <c r="Q37" s="54">
        <f t="shared" si="32"/>
        <v>250000</v>
      </c>
      <c r="R37" s="54">
        <f t="shared" si="32"/>
        <v>250000</v>
      </c>
      <c r="S37" t="s">
        <v>31</v>
      </c>
    </row>
    <row r="38" spans="1:21" x14ac:dyDescent="0.2">
      <c r="A38" s="10" t="s">
        <v>9</v>
      </c>
      <c r="B38" s="4"/>
      <c r="C38" s="4"/>
      <c r="D38" s="4"/>
      <c r="E38" s="4"/>
      <c r="F38" s="7"/>
      <c r="G38" s="7"/>
      <c r="H38" s="8"/>
      <c r="I38" s="58">
        <f>I8</f>
        <v>46348.088958031265</v>
      </c>
      <c r="J38" s="58"/>
      <c r="K38" s="58"/>
      <c r="L38" s="58"/>
      <c r="M38" s="58"/>
      <c r="N38" s="58"/>
      <c r="O38" s="58"/>
      <c r="P38" s="58"/>
      <c r="Q38" s="58"/>
      <c r="R38" s="58"/>
    </row>
    <row r="39" spans="1:21" x14ac:dyDescent="0.2">
      <c r="A39" s="14" t="s">
        <v>111</v>
      </c>
      <c r="B39" s="49"/>
      <c r="C39" s="49"/>
      <c r="D39" s="49"/>
      <c r="E39" s="4"/>
      <c r="F39" s="50"/>
      <c r="G39" s="50"/>
      <c r="H39" s="51"/>
      <c r="I39" s="13">
        <f>I9</f>
        <v>169098.49110250713</v>
      </c>
      <c r="J39" s="13">
        <f>J28</f>
        <v>160643.56654738178</v>
      </c>
      <c r="K39" s="13">
        <f t="shared" ref="K39:R39" si="33">K28</f>
        <v>152611.38822001268</v>
      </c>
      <c r="L39" s="13">
        <f t="shared" si="33"/>
        <v>144980.81880901204</v>
      </c>
      <c r="M39" s="13">
        <f t="shared" si="33"/>
        <v>137731.77786856142</v>
      </c>
      <c r="N39" s="13">
        <f t="shared" si="33"/>
        <v>130845.18897513334</v>
      </c>
      <c r="O39" s="13">
        <f t="shared" si="33"/>
        <v>124302.92952637667</v>
      </c>
      <c r="P39" s="13">
        <f t="shared" si="33"/>
        <v>118087.78305005783</v>
      </c>
      <c r="Q39" s="13">
        <f t="shared" si="33"/>
        <v>112183.39389755492</v>
      </c>
      <c r="R39" s="13">
        <f t="shared" si="33"/>
        <v>106574.22420267717</v>
      </c>
      <c r="T39" s="55" t="s">
        <v>118</v>
      </c>
    </row>
    <row r="40" spans="1:21" x14ac:dyDescent="0.2">
      <c r="A40" s="14" t="s">
        <v>10</v>
      </c>
      <c r="B40" s="4"/>
      <c r="C40" s="4"/>
      <c r="D40" s="4"/>
      <c r="E40" s="4"/>
      <c r="F40" s="7"/>
      <c r="G40" s="7"/>
      <c r="H40" s="8"/>
      <c r="I40" s="54">
        <f>I19</f>
        <v>190000</v>
      </c>
      <c r="J40" s="54">
        <f>I40</f>
        <v>190000</v>
      </c>
      <c r="K40" s="54">
        <f t="shared" ref="K40:R40" si="34">J40</f>
        <v>190000</v>
      </c>
      <c r="L40" s="54">
        <f t="shared" si="34"/>
        <v>190000</v>
      </c>
      <c r="M40" s="54">
        <f t="shared" si="34"/>
        <v>190000</v>
      </c>
      <c r="N40" s="54">
        <f t="shared" si="34"/>
        <v>190000</v>
      </c>
      <c r="O40" s="54">
        <f t="shared" si="34"/>
        <v>190000</v>
      </c>
      <c r="P40" s="54">
        <f t="shared" si="34"/>
        <v>190000</v>
      </c>
      <c r="Q40" s="54">
        <f t="shared" si="34"/>
        <v>190000</v>
      </c>
      <c r="R40" s="54">
        <f t="shared" si="34"/>
        <v>190000</v>
      </c>
      <c r="T40" t="s">
        <v>117</v>
      </c>
    </row>
    <row r="41" spans="1:21" ht="17" customHeight="1" x14ac:dyDescent="0.2">
      <c r="A41" t="s">
        <v>115</v>
      </c>
      <c r="B41" s="49"/>
      <c r="C41" s="49"/>
      <c r="D41" s="49"/>
      <c r="E41" s="49"/>
      <c r="F41" s="50"/>
      <c r="G41" s="50"/>
      <c r="H41" s="51"/>
      <c r="I41" s="11">
        <f>SUM(I36:I40)</f>
        <v>1236348.0889580313</v>
      </c>
      <c r="J41" s="11">
        <f t="shared" ref="J41:R41" si="35">SUM(J36:J40)</f>
        <v>1189882.4733154087</v>
      </c>
      <c r="K41" s="11">
        <f t="shared" si="35"/>
        <v>1144972.5490146533</v>
      </c>
      <c r="L41" s="11">
        <f t="shared" si="35"/>
        <v>1101578.910960685</v>
      </c>
      <c r="M41" s="11">
        <f t="shared" si="35"/>
        <v>1059662.2053395768</v>
      </c>
      <c r="N41" s="11">
        <f t="shared" si="35"/>
        <v>1019183.2230031779</v>
      </c>
      <c r="O41" s="11">
        <f t="shared" si="35"/>
        <v>980102.98338706989</v>
      </c>
      <c r="P41" s="11">
        <f t="shared" si="35"/>
        <v>942382.80967506464</v>
      </c>
      <c r="Q41" s="11">
        <f t="shared" si="35"/>
        <v>905984.39587579237</v>
      </c>
      <c r="R41" s="11">
        <f t="shared" si="35"/>
        <v>870869.86643225944</v>
      </c>
    </row>
    <row r="42" spans="1:21" ht="17" customHeight="1" x14ac:dyDescent="0.2">
      <c r="A42" t="s">
        <v>116</v>
      </c>
      <c r="B42" s="49"/>
      <c r="C42" s="49"/>
      <c r="D42" s="49"/>
      <c r="E42" s="49">
        <f>E39+E36</f>
        <v>0</v>
      </c>
      <c r="F42" s="50"/>
      <c r="G42" s="50"/>
      <c r="H42" s="51"/>
      <c r="I42" s="54">
        <f>I39+I36</f>
        <v>750000</v>
      </c>
      <c r="J42" s="54">
        <f>J36+J39</f>
        <v>749882.47331540869</v>
      </c>
      <c r="K42" s="54">
        <f t="shared" ref="K42:R42" si="36">K36+K39</f>
        <v>704972.54901465331</v>
      </c>
      <c r="L42" s="54">
        <f t="shared" si="36"/>
        <v>661578.910960685</v>
      </c>
      <c r="M42" s="54">
        <f t="shared" si="36"/>
        <v>619662.20533957682</v>
      </c>
      <c r="N42" s="54">
        <f t="shared" si="36"/>
        <v>579183.2230031779</v>
      </c>
      <c r="O42" s="54">
        <f t="shared" si="36"/>
        <v>540102.98338706989</v>
      </c>
      <c r="P42" s="54">
        <f t="shared" si="36"/>
        <v>502382.80967506464</v>
      </c>
      <c r="Q42" s="54">
        <f t="shared" si="36"/>
        <v>465984.39587579237</v>
      </c>
      <c r="R42" s="54">
        <f t="shared" si="36"/>
        <v>430869.86643225944</v>
      </c>
      <c r="T42" t="s">
        <v>117</v>
      </c>
      <c r="U42" t="s">
        <v>122</v>
      </c>
    </row>
    <row r="43" spans="1:21" x14ac:dyDescent="0.2">
      <c r="A43" t="s">
        <v>11</v>
      </c>
      <c r="B43" s="4"/>
      <c r="C43" s="4"/>
      <c r="D43" s="4"/>
      <c r="E43" s="4"/>
      <c r="F43" s="7"/>
      <c r="G43" s="7"/>
      <c r="H43" s="8"/>
      <c r="I43" s="4">
        <f>I32</f>
        <v>1236348.0889580313</v>
      </c>
      <c r="J43" s="4">
        <f t="shared" ref="J43:R43" si="37">J32</f>
        <v>1189882.4733154087</v>
      </c>
      <c r="K43" s="4">
        <f t="shared" si="37"/>
        <v>1144972.5490146533</v>
      </c>
      <c r="L43" s="4">
        <f t="shared" si="37"/>
        <v>1101578.910960685</v>
      </c>
      <c r="M43" s="4">
        <f t="shared" si="37"/>
        <v>1059662.2053395768</v>
      </c>
      <c r="N43" s="4">
        <f t="shared" si="37"/>
        <v>1019183.2230031779</v>
      </c>
      <c r="O43" s="4">
        <f t="shared" si="37"/>
        <v>980102.98338706989</v>
      </c>
      <c r="P43" s="4">
        <f t="shared" si="37"/>
        <v>942382.80967506464</v>
      </c>
      <c r="Q43" s="4">
        <f t="shared" si="37"/>
        <v>905984.39587579237</v>
      </c>
      <c r="R43" s="4">
        <f t="shared" si="37"/>
        <v>870869.86643225944</v>
      </c>
      <c r="S43" s="13">
        <f>SUM(I43:R43)</f>
        <v>10450967.50596172</v>
      </c>
    </row>
    <row r="44" spans="1:21" x14ac:dyDescent="0.2">
      <c r="A44" t="s">
        <v>14</v>
      </c>
      <c r="M44" s="11"/>
      <c r="N44" s="11"/>
      <c r="O44" s="11"/>
      <c r="P44" s="11"/>
      <c r="Q44" s="11"/>
      <c r="R44" s="11"/>
      <c r="T44" t="s">
        <v>120</v>
      </c>
    </row>
    <row r="46" spans="1:21" s="21" customFormat="1" ht="17" customHeight="1" x14ac:dyDescent="0.2">
      <c r="A46" s="16" t="s">
        <v>16</v>
      </c>
      <c r="B46" s="17"/>
      <c r="C46" s="17"/>
      <c r="D46" s="17"/>
      <c r="E46" s="17"/>
      <c r="F46" s="18"/>
      <c r="G46" s="18"/>
      <c r="H46" s="19"/>
      <c r="I46" s="20"/>
      <c r="J46" s="20"/>
      <c r="K46" s="20"/>
      <c r="L46" s="20"/>
      <c r="M46" s="20"/>
      <c r="N46" s="20"/>
      <c r="O46" s="20"/>
      <c r="P46" s="20"/>
      <c r="Q46" s="20"/>
      <c r="R46" s="20"/>
    </row>
    <row r="47" spans="1:21" ht="17" customHeight="1" x14ac:dyDescent="0.2">
      <c r="A47" s="22" t="s">
        <v>17</v>
      </c>
      <c r="B47" s="22"/>
      <c r="C47" s="22"/>
      <c r="D47" s="23"/>
      <c r="E47" s="23"/>
      <c r="F47" s="23"/>
      <c r="G47" s="23"/>
      <c r="H47" s="23" t="s">
        <v>18</v>
      </c>
      <c r="I47" s="60"/>
      <c r="J47" s="23"/>
      <c r="K47" s="23"/>
      <c r="L47" s="23"/>
      <c r="M47" s="23"/>
      <c r="N47" s="23"/>
      <c r="O47" s="23"/>
      <c r="P47" s="23"/>
      <c r="Q47" s="23"/>
      <c r="R47" s="23"/>
      <c r="S47" s="23"/>
    </row>
    <row r="48" spans="1:21" x14ac:dyDescent="0.2">
      <c r="A48" s="23" t="s">
        <v>19</v>
      </c>
      <c r="B48" s="23"/>
      <c r="C48" s="23"/>
      <c r="D48" s="23"/>
      <c r="E48" s="23"/>
      <c r="F48" s="23"/>
      <c r="G48" s="23"/>
      <c r="H48" s="30">
        <f>'Disposal costs'!F2</f>
        <v>64</v>
      </c>
      <c r="I48" s="24">
        <f t="shared" ref="I48:R48" si="38">I6*($H$48*(1+0.02*(I2-2024)))</f>
        <v>39408358.363605917</v>
      </c>
      <c r="J48" s="24">
        <f t="shared" si="38"/>
        <v>40419878.745395876</v>
      </c>
      <c r="K48" s="24">
        <f t="shared" si="38"/>
        <v>41435066.520079799</v>
      </c>
      <c r="L48" s="24">
        <f t="shared" si="38"/>
        <v>42453726.446729936</v>
      </c>
      <c r="M48" s="24">
        <f t="shared" si="38"/>
        <v>43163379.901793219</v>
      </c>
      <c r="N48" s="24">
        <f t="shared" si="38"/>
        <v>43233121.456135899</v>
      </c>
      <c r="O48" s="24">
        <f t="shared" si="38"/>
        <v>43270274.135121427</v>
      </c>
      <c r="P48" s="24">
        <f t="shared" si="38"/>
        <v>43275174.313842252</v>
      </c>
      <c r="Q48" s="24">
        <f t="shared" si="38"/>
        <v>43248178.992693774</v>
      </c>
      <c r="R48" s="24">
        <f t="shared" si="38"/>
        <v>43189664.241077617</v>
      </c>
      <c r="S48" s="23"/>
    </row>
    <row r="49" spans="1:19" x14ac:dyDescent="0.2">
      <c r="A49" s="23" t="s">
        <v>74</v>
      </c>
      <c r="B49" s="23"/>
      <c r="C49" s="23"/>
      <c r="D49" s="23"/>
      <c r="E49" s="23"/>
      <c r="F49" s="23"/>
      <c r="G49" s="23"/>
      <c r="H49" s="30">
        <f>'Disposal costs'!F3</f>
        <v>107.23583695223056</v>
      </c>
      <c r="I49" s="24">
        <f>I7*($H$49*(1+0.05*(I2-2024)))</f>
        <v>30830303.123766281</v>
      </c>
      <c r="J49" s="24">
        <f>J7*($H$49*(1+0.05*(J2-2024)))</f>
        <v>32170751.085669167</v>
      </c>
      <c r="K49" s="24">
        <f t="shared" ref="K49:R49" si="39">K7*($H$49*(1+0.05*(K2-2024)))</f>
        <v>33511199.04757205</v>
      </c>
      <c r="L49" s="24">
        <f t="shared" si="39"/>
        <v>34851647.009474933</v>
      </c>
      <c r="M49" s="24">
        <f t="shared" si="39"/>
        <v>36192094.971377812</v>
      </c>
      <c r="N49" s="24">
        <f t="shared" si="39"/>
        <v>37532542.933280692</v>
      </c>
      <c r="O49" s="24">
        <f t="shared" si="39"/>
        <v>38872990.895183578</v>
      </c>
      <c r="P49" s="24">
        <f t="shared" si="39"/>
        <v>40213438.857086457</v>
      </c>
      <c r="Q49" s="24">
        <f t="shared" si="39"/>
        <v>41553886.818989344</v>
      </c>
      <c r="R49" s="24">
        <f t="shared" si="39"/>
        <v>42894334.780892223</v>
      </c>
      <c r="S49" s="23"/>
    </row>
    <row r="50" spans="1:19" x14ac:dyDescent="0.2">
      <c r="A50" s="23" t="s">
        <v>20</v>
      </c>
      <c r="B50" s="23"/>
      <c r="C50" s="23"/>
      <c r="D50" s="23"/>
      <c r="E50" s="23"/>
      <c r="F50" s="23"/>
      <c r="G50" s="23"/>
      <c r="H50" s="30">
        <f>'Disposal costs'!F4</f>
        <v>171</v>
      </c>
      <c r="I50" s="24">
        <f>I8*($H$50*(1+0.02*(I2-2024)))</f>
        <v>8401054.6045327485</v>
      </c>
      <c r="J50" s="24">
        <f>J8*($H$50*(1+0.02*(J2-2024)))</f>
        <v>6240761.5587632954</v>
      </c>
      <c r="K50" s="24">
        <f>K8*($H$50*(1+0.02*(K2-2024)))</f>
        <v>3980642.5400296277</v>
      </c>
      <c r="L50" s="24">
        <f>L8*($H$50*(1+0.05*(L2-2024)))</f>
        <v>1882506.6908018363</v>
      </c>
      <c r="M50" s="24">
        <f t="shared" ref="M50:R50" si="40">M8*($H$50*(1+0.02*(M2-2024)))</f>
        <v>0</v>
      </c>
      <c r="N50" s="24">
        <f t="shared" si="40"/>
        <v>0</v>
      </c>
      <c r="O50" s="24">
        <f t="shared" si="40"/>
        <v>0</v>
      </c>
      <c r="P50" s="24">
        <f t="shared" si="40"/>
        <v>0</v>
      </c>
      <c r="Q50" s="24">
        <f t="shared" si="40"/>
        <v>0</v>
      </c>
      <c r="R50" s="24">
        <f t="shared" si="40"/>
        <v>0</v>
      </c>
      <c r="S50" s="23"/>
    </row>
    <row r="51" spans="1:19" x14ac:dyDescent="0.2">
      <c r="A51" s="22" t="s">
        <v>21</v>
      </c>
      <c r="B51" s="22"/>
      <c r="C51" s="22"/>
      <c r="D51" s="22"/>
      <c r="E51" s="22"/>
      <c r="F51" s="22"/>
      <c r="G51" s="22"/>
      <c r="H51" s="22"/>
      <c r="I51" s="26">
        <f>SUM(I48:I50)</f>
        <v>78639716.091904938</v>
      </c>
      <c r="J51" s="26">
        <f t="shared" ref="J51:R51" si="41">SUM(J48:J50)</f>
        <v>78831391.389828339</v>
      </c>
      <c r="K51" s="26">
        <f t="shared" si="41"/>
        <v>78926908.107681483</v>
      </c>
      <c r="L51" s="26">
        <f t="shared" si="41"/>
        <v>79187880.147006691</v>
      </c>
      <c r="M51" s="26">
        <f t="shared" si="41"/>
        <v>79355474.873171031</v>
      </c>
      <c r="N51" s="26">
        <f t="shared" si="41"/>
        <v>80765664.38941659</v>
      </c>
      <c r="O51" s="26">
        <f t="shared" si="41"/>
        <v>82143265.030304998</v>
      </c>
      <c r="P51" s="26">
        <f t="shared" si="41"/>
        <v>83488613.170928717</v>
      </c>
      <c r="Q51" s="26">
        <f t="shared" si="41"/>
        <v>84802065.811683118</v>
      </c>
      <c r="R51" s="26">
        <f t="shared" si="41"/>
        <v>86083999.02196984</v>
      </c>
      <c r="S51" s="23"/>
    </row>
    <row r="52" spans="1:19" x14ac:dyDescent="0.2">
      <c r="A52" s="22" t="s">
        <v>25</v>
      </c>
      <c r="J52" s="23"/>
      <c r="K52" s="23"/>
      <c r="L52" s="23"/>
      <c r="M52" s="23"/>
      <c r="N52" s="23"/>
      <c r="O52" s="23"/>
      <c r="P52" s="23"/>
      <c r="Q52" s="23"/>
      <c r="S52" s="26">
        <f>SUM(I51:R51)</f>
        <v>812224978.03389573</v>
      </c>
    </row>
    <row r="53" spans="1:19" x14ac:dyDescent="0.2">
      <c r="A53" s="23" t="s">
        <v>81</v>
      </c>
      <c r="B53" s="23"/>
      <c r="C53" s="23"/>
      <c r="D53" s="23"/>
      <c r="E53" s="23"/>
      <c r="F53" s="33">
        <v>420000000</v>
      </c>
      <c r="G53" s="33"/>
      <c r="H53" s="23"/>
      <c r="I53" s="27">
        <f>F53/20</f>
        <v>21000000</v>
      </c>
      <c r="J53" s="27">
        <f>I53</f>
        <v>21000000</v>
      </c>
      <c r="K53" s="27">
        <f t="shared" ref="K53:R53" si="42">J53</f>
        <v>21000000</v>
      </c>
      <c r="L53" s="27">
        <f t="shared" si="42"/>
        <v>21000000</v>
      </c>
      <c r="M53" s="27">
        <f t="shared" si="42"/>
        <v>21000000</v>
      </c>
      <c r="N53" s="27">
        <f t="shared" si="42"/>
        <v>21000000</v>
      </c>
      <c r="O53" s="27">
        <f t="shared" si="42"/>
        <v>21000000</v>
      </c>
      <c r="P53" s="27">
        <f t="shared" si="42"/>
        <v>21000000</v>
      </c>
      <c r="Q53" s="27">
        <f t="shared" si="42"/>
        <v>21000000</v>
      </c>
      <c r="R53" s="27">
        <f t="shared" si="42"/>
        <v>21000000</v>
      </c>
      <c r="S53" s="23" t="s">
        <v>127</v>
      </c>
    </row>
    <row r="54" spans="1:19" x14ac:dyDescent="0.2">
      <c r="A54" s="22" t="s">
        <v>24</v>
      </c>
      <c r="B54" s="23"/>
      <c r="C54" s="23"/>
      <c r="D54" s="23"/>
      <c r="E54" s="23"/>
      <c r="F54" s="23"/>
      <c r="G54" s="23"/>
      <c r="H54" s="23"/>
      <c r="I54" s="28">
        <f>SUM(I53+I51)</f>
        <v>99639716.091904938</v>
      </c>
      <c r="J54" s="28">
        <f t="shared" ref="J54:R54" si="43">SUM(J53+J51)</f>
        <v>99831391.389828339</v>
      </c>
      <c r="K54" s="28">
        <f t="shared" si="43"/>
        <v>99926908.107681483</v>
      </c>
      <c r="L54" s="28">
        <f t="shared" si="43"/>
        <v>100187880.14700669</v>
      </c>
      <c r="M54" s="28">
        <f t="shared" si="43"/>
        <v>100355474.87317103</v>
      </c>
      <c r="N54" s="28">
        <f t="shared" si="43"/>
        <v>101765664.38941659</v>
      </c>
      <c r="O54" s="28">
        <f t="shared" si="43"/>
        <v>103143265.030305</v>
      </c>
      <c r="P54" s="28">
        <f t="shared" si="43"/>
        <v>104488613.17092872</v>
      </c>
      <c r="Q54" s="28">
        <f t="shared" si="43"/>
        <v>105802065.81168312</v>
      </c>
      <c r="R54" s="28">
        <f t="shared" si="43"/>
        <v>107083999.02196984</v>
      </c>
    </row>
    <row r="55" spans="1:19" x14ac:dyDescent="0.2">
      <c r="A55" s="15" t="s">
        <v>26</v>
      </c>
      <c r="S55" s="26">
        <f>SUM(I54:R54)</f>
        <v>1022224978.0338957</v>
      </c>
    </row>
    <row r="56" spans="1:19" x14ac:dyDescent="0.2">
      <c r="A56" s="22" t="s">
        <v>27</v>
      </c>
      <c r="B56" s="22"/>
      <c r="C56" s="22"/>
      <c r="D56" s="23"/>
      <c r="E56" s="23"/>
      <c r="F56" s="23"/>
      <c r="G56" s="23"/>
      <c r="H56" s="23" t="s">
        <v>28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</row>
    <row r="57" spans="1:19" x14ac:dyDescent="0.2">
      <c r="A57" s="23" t="s">
        <v>19</v>
      </c>
      <c r="B57" s="23"/>
      <c r="C57" s="23"/>
      <c r="D57" s="23"/>
      <c r="E57" s="23"/>
      <c r="F57" s="23"/>
      <c r="G57" s="23"/>
      <c r="H57" s="24">
        <f>'Disposal costs'!F12</f>
        <v>47.643125769627581</v>
      </c>
      <c r="I57" s="24">
        <f>I6*($H$57*(1+0.02*(I2-2022)))</f>
        <v>30443560.01298666</v>
      </c>
      <c r="J57" s="24">
        <f t="shared" ref="J57:R57" si="44">J6*$H$57*(1+0.02*(I2-2022))</f>
        <v>30646734.712470945</v>
      </c>
      <c r="K57" s="24">
        <f t="shared" si="44"/>
        <v>31406074.087325752</v>
      </c>
      <c r="L57" s="24">
        <f t="shared" si="44"/>
        <v>32167915.464280803</v>
      </c>
      <c r="M57" s="24">
        <f t="shared" si="44"/>
        <v>32695565.669844918</v>
      </c>
      <c r="N57" s="24">
        <f t="shared" si="44"/>
        <v>32738658.818412658</v>
      </c>
      <c r="O57" s="24">
        <f t="shared" si="44"/>
        <v>32757379.968843009</v>
      </c>
      <c r="P57" s="24">
        <f t="shared" si="44"/>
        <v>32751989.303321239</v>
      </c>
      <c r="Q57" s="24">
        <f t="shared" si="44"/>
        <v>32722761.968619119</v>
      </c>
      <c r="R57" s="24">
        <f t="shared" si="44"/>
        <v>32669986.930266082</v>
      </c>
      <c r="S57" s="23" t="s">
        <v>123</v>
      </c>
    </row>
    <row r="58" spans="1:19" x14ac:dyDescent="0.2">
      <c r="A58" s="23" t="s">
        <v>74</v>
      </c>
      <c r="B58" s="23"/>
      <c r="C58" s="23"/>
      <c r="D58" s="23"/>
      <c r="E58" s="23"/>
      <c r="F58" s="23"/>
      <c r="G58" s="23"/>
      <c r="H58" s="24">
        <f>'Disposal costs'!F13</f>
        <v>78.280771161677052</v>
      </c>
      <c r="I58" s="24">
        <f>I7*($H$58*(1+0.05*(I2-2022)))</f>
        <v>24462740.988024082</v>
      </c>
      <c r="J58" s="24">
        <f t="shared" ref="J58:R58" si="45">J7*($H$58*(1+0.05*(J2-2022)))</f>
        <v>25441250.62754504</v>
      </c>
      <c r="K58" s="24">
        <f t="shared" si="45"/>
        <v>26419760.267066006</v>
      </c>
      <c r="L58" s="24">
        <f t="shared" si="45"/>
        <v>27398269.906586967</v>
      </c>
      <c r="M58" s="24">
        <f t="shared" si="45"/>
        <v>28376779.546107929</v>
      </c>
      <c r="N58" s="24">
        <f t="shared" si="45"/>
        <v>29355289.185628895</v>
      </c>
      <c r="O58" s="24">
        <f t="shared" si="45"/>
        <v>30333798.82514986</v>
      </c>
      <c r="P58" s="24">
        <f t="shared" si="45"/>
        <v>31312308.464670822</v>
      </c>
      <c r="Q58" s="24">
        <f t="shared" si="45"/>
        <v>32290818.104191784</v>
      </c>
      <c r="R58" s="24">
        <f t="shared" si="45"/>
        <v>33269327.743712749</v>
      </c>
      <c r="S58" s="23"/>
    </row>
    <row r="59" spans="1:19" x14ac:dyDescent="0.2">
      <c r="A59" s="23" t="s">
        <v>20</v>
      </c>
      <c r="B59" s="23"/>
      <c r="C59" s="23"/>
      <c r="D59" s="23"/>
      <c r="E59" s="23"/>
      <c r="F59" s="23"/>
      <c r="G59" s="23"/>
      <c r="H59" s="24">
        <f>'Disposal costs'!F14</f>
        <v>117.41999999999999</v>
      </c>
      <c r="I59" s="24">
        <f t="shared" ref="I59:R59" si="46">I8*($H$59*(1+0.02*(I2-2022)))</f>
        <v>5986411.8659972344</v>
      </c>
      <c r="J59" s="24">
        <f t="shared" si="46"/>
        <v>4444038.6013514427</v>
      </c>
      <c r="K59" s="24">
        <f t="shared" si="46"/>
        <v>2832769.9821229023</v>
      </c>
      <c r="L59" s="24">
        <f t="shared" si="46"/>
        <v>1153445.6380359146</v>
      </c>
      <c r="M59" s="24">
        <f t="shared" si="46"/>
        <v>0</v>
      </c>
      <c r="N59" s="24">
        <f t="shared" si="46"/>
        <v>0</v>
      </c>
      <c r="O59" s="24">
        <f t="shared" si="46"/>
        <v>0</v>
      </c>
      <c r="P59" s="24">
        <f t="shared" si="46"/>
        <v>0</v>
      </c>
      <c r="Q59" s="24">
        <f t="shared" si="46"/>
        <v>0</v>
      </c>
      <c r="R59" s="24">
        <f t="shared" si="46"/>
        <v>0</v>
      </c>
      <c r="S59" s="23"/>
    </row>
    <row r="60" spans="1:19" x14ac:dyDescent="0.2">
      <c r="A60" s="22" t="s">
        <v>21</v>
      </c>
      <c r="B60" s="22"/>
      <c r="C60" s="22"/>
      <c r="D60" s="22"/>
      <c r="E60" s="22"/>
      <c r="F60" s="22"/>
      <c r="G60" s="22"/>
      <c r="H60" s="22"/>
      <c r="I60" s="26">
        <f>SUM(I57:I59)</f>
        <v>60892712.867007978</v>
      </c>
      <c r="J60" s="26">
        <f t="shared" ref="J60:R60" si="47">SUM(J57:J59)</f>
        <v>60532023.941367425</v>
      </c>
      <c r="K60" s="26">
        <f t="shared" si="47"/>
        <v>60658604.336514659</v>
      </c>
      <c r="L60" s="26">
        <f t="shared" si="47"/>
        <v>60719631.00890369</v>
      </c>
      <c r="M60" s="26">
        <f t="shared" si="47"/>
        <v>61072345.215952843</v>
      </c>
      <c r="N60" s="26">
        <f t="shared" si="47"/>
        <v>62093948.004041553</v>
      </c>
      <c r="O60" s="26">
        <f t="shared" si="47"/>
        <v>63091178.79399287</v>
      </c>
      <c r="P60" s="26">
        <f t="shared" si="47"/>
        <v>64064297.767992064</v>
      </c>
      <c r="Q60" s="26">
        <f t="shared" si="47"/>
        <v>65013580.072810903</v>
      </c>
      <c r="R60" s="26">
        <f t="shared" si="47"/>
        <v>65939314.673978835</v>
      </c>
      <c r="S60" s="23"/>
    </row>
    <row r="61" spans="1:19" x14ac:dyDescent="0.2">
      <c r="A61" s="22" t="s">
        <v>80</v>
      </c>
      <c r="J61" s="23"/>
      <c r="K61" s="23"/>
      <c r="L61" s="23"/>
      <c r="M61" s="23"/>
      <c r="N61" s="23"/>
      <c r="O61" s="23"/>
      <c r="P61" s="23"/>
      <c r="Q61" s="23"/>
      <c r="S61" s="26">
        <f>SUM(I60:R60)</f>
        <v>624077636.68256283</v>
      </c>
    </row>
    <row r="62" spans="1:19" x14ac:dyDescent="0.2">
      <c r="A62" s="23" t="s">
        <v>81</v>
      </c>
      <c r="B62" s="23"/>
      <c r="C62" s="23"/>
      <c r="D62" s="23"/>
      <c r="E62" s="23"/>
      <c r="F62" s="27">
        <f>F53</f>
        <v>420000000</v>
      </c>
      <c r="G62" s="27"/>
      <c r="H62" s="23"/>
      <c r="I62" s="27">
        <f>F62/20</f>
        <v>21000000</v>
      </c>
      <c r="J62" s="27">
        <f>I62</f>
        <v>21000000</v>
      </c>
      <c r="K62" s="27">
        <f t="shared" ref="K62:R62" si="48">J62</f>
        <v>21000000</v>
      </c>
      <c r="L62" s="27">
        <f t="shared" si="48"/>
        <v>21000000</v>
      </c>
      <c r="M62" s="27">
        <f t="shared" si="48"/>
        <v>21000000</v>
      </c>
      <c r="N62" s="27">
        <f t="shared" si="48"/>
        <v>21000000</v>
      </c>
      <c r="O62" s="27">
        <f t="shared" si="48"/>
        <v>21000000</v>
      </c>
      <c r="P62" s="27">
        <f t="shared" si="48"/>
        <v>21000000</v>
      </c>
      <c r="Q62" s="27">
        <f t="shared" si="48"/>
        <v>21000000</v>
      </c>
      <c r="R62" s="27">
        <f t="shared" si="48"/>
        <v>21000000</v>
      </c>
      <c r="S62" s="23"/>
    </row>
    <row r="63" spans="1:19" x14ac:dyDescent="0.2">
      <c r="A63" s="22" t="s">
        <v>24</v>
      </c>
      <c r="B63" s="23"/>
      <c r="C63" s="23"/>
      <c r="D63" s="23"/>
      <c r="E63" s="23"/>
      <c r="F63" s="23"/>
      <c r="G63" s="23"/>
      <c r="H63" s="23"/>
      <c r="I63" s="28">
        <f>SUM(I62+I60)</f>
        <v>81892712.867007971</v>
      </c>
      <c r="J63" s="28">
        <f t="shared" ref="J63:R63" si="49">SUM(J62+J60)</f>
        <v>81532023.941367418</v>
      </c>
      <c r="K63" s="28">
        <f t="shared" si="49"/>
        <v>81658604.336514652</v>
      </c>
      <c r="L63" s="28">
        <f t="shared" si="49"/>
        <v>81719631.008903682</v>
      </c>
      <c r="M63" s="28">
        <f t="shared" si="49"/>
        <v>82072345.215952843</v>
      </c>
      <c r="N63" s="28">
        <f t="shared" si="49"/>
        <v>83093948.004041553</v>
      </c>
      <c r="O63" s="28">
        <f t="shared" si="49"/>
        <v>84091178.793992877</v>
      </c>
      <c r="P63" s="28">
        <f t="shared" si="49"/>
        <v>85064297.767992064</v>
      </c>
      <c r="Q63" s="28">
        <f t="shared" si="49"/>
        <v>86013580.072810903</v>
      </c>
      <c r="R63" s="28">
        <f t="shared" si="49"/>
        <v>86939314.673978835</v>
      </c>
    </row>
    <row r="64" spans="1:19" x14ac:dyDescent="0.2">
      <c r="A64" s="15" t="s">
        <v>26</v>
      </c>
      <c r="I64" s="25"/>
      <c r="S64" s="26">
        <f>SUM(I63:R63)</f>
        <v>834077636.68256271</v>
      </c>
    </row>
    <row r="66" spans="1:19" s="21" customFormat="1" x14ac:dyDescent="0.2">
      <c r="A66" s="16" t="s">
        <v>32</v>
      </c>
    </row>
    <row r="67" spans="1:19" x14ac:dyDescent="0.2">
      <c r="A67" s="22" t="s">
        <v>30</v>
      </c>
      <c r="B67" s="22"/>
      <c r="C67" s="22"/>
      <c r="D67" s="23"/>
      <c r="E67" s="23"/>
      <c r="F67" s="23"/>
      <c r="G67" s="23"/>
      <c r="H67" s="23" t="s">
        <v>18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</row>
    <row r="68" spans="1:19" x14ac:dyDescent="0.2">
      <c r="A68" s="23" t="s">
        <v>19</v>
      </c>
      <c r="B68" s="23"/>
      <c r="C68" s="23"/>
      <c r="D68" s="23"/>
      <c r="E68" s="23"/>
      <c r="F68" s="23"/>
      <c r="G68" s="23"/>
      <c r="H68" s="24">
        <f>H48</f>
        <v>64</v>
      </c>
      <c r="I68" s="24">
        <f t="shared" ref="I68:R68" si="50">I15*($H$68*(1+0.02*(I2-2024)))</f>
        <v>39408358.363605917</v>
      </c>
      <c r="J68" s="24">
        <f t="shared" si="50"/>
        <v>40419878.745395876</v>
      </c>
      <c r="K68" s="24">
        <f t="shared" si="50"/>
        <v>41435066.520079799</v>
      </c>
      <c r="L68" s="24">
        <f t="shared" si="50"/>
        <v>42453726.446729936</v>
      </c>
      <c r="M68" s="24">
        <f t="shared" si="50"/>
        <v>43475670.309120238</v>
      </c>
      <c r="N68" s="24">
        <f t="shared" si="50"/>
        <v>44500716.696246296</v>
      </c>
      <c r="O68" s="24">
        <f t="shared" si="50"/>
        <v>45528690.789216824</v>
      </c>
      <c r="P68" s="24">
        <f t="shared" si="50"/>
        <v>46559424.154339671</v>
      </c>
      <c r="Q68" s="24">
        <f t="shared" si="50"/>
        <v>47592754.542230621</v>
      </c>
      <c r="R68" s="24">
        <f t="shared" si="50"/>
        <v>48628525.692777365</v>
      </c>
      <c r="S68" s="23"/>
    </row>
    <row r="69" spans="1:19" x14ac:dyDescent="0.2">
      <c r="A69" s="23" t="s">
        <v>74</v>
      </c>
      <c r="B69" s="23"/>
      <c r="C69" s="23"/>
      <c r="D69" s="23"/>
      <c r="E69" s="23"/>
      <c r="F69" s="23"/>
      <c r="G69" s="23"/>
      <c r="H69" s="24">
        <f>H49</f>
        <v>107.23583695223056</v>
      </c>
      <c r="I69" s="24">
        <f>I16*($H$69*(1+0.052*(I2-2024)))</f>
        <v>30991156.879194628</v>
      </c>
      <c r="J69" s="24">
        <f t="shared" ref="J69:R69" si="51">J16*($H$69*(1+0.02*(J2-2024)))</f>
        <v>0</v>
      </c>
      <c r="K69" s="24">
        <f t="shared" si="51"/>
        <v>0</v>
      </c>
      <c r="L69" s="24">
        <f t="shared" si="51"/>
        <v>0</v>
      </c>
      <c r="M69" s="24">
        <f t="shared" si="51"/>
        <v>0</v>
      </c>
      <c r="N69" s="24">
        <f t="shared" si="51"/>
        <v>0</v>
      </c>
      <c r="O69" s="24">
        <f t="shared" si="51"/>
        <v>0</v>
      </c>
      <c r="P69" s="24">
        <f t="shared" si="51"/>
        <v>0</v>
      </c>
      <c r="Q69" s="24">
        <f t="shared" si="51"/>
        <v>0</v>
      </c>
      <c r="R69" s="24">
        <f t="shared" si="51"/>
        <v>0</v>
      </c>
      <c r="S69" s="23"/>
    </row>
    <row r="70" spans="1:19" x14ac:dyDescent="0.2">
      <c r="A70" s="23" t="s">
        <v>20</v>
      </c>
      <c r="B70" s="23"/>
      <c r="C70" s="23"/>
      <c r="D70" s="23"/>
      <c r="E70" s="23"/>
      <c r="F70" s="23"/>
      <c r="G70" s="23"/>
      <c r="H70" s="24">
        <f>H50</f>
        <v>171</v>
      </c>
      <c r="I70" s="24">
        <f t="shared" ref="I70:R70" si="52">I17*($H$70*(1+0.02*(I2-2024)))</f>
        <v>8401054.6045327485</v>
      </c>
      <c r="J70" s="24">
        <f t="shared" si="52"/>
        <v>82923898.035908699</v>
      </c>
      <c r="K70" s="24">
        <f t="shared" si="52"/>
        <v>81371324.181691423</v>
      </c>
      <c r="L70" s="24">
        <f t="shared" si="52"/>
        <v>79710801.568372741</v>
      </c>
      <c r="M70" s="24">
        <f t="shared" si="52"/>
        <v>77944042.460742533</v>
      </c>
      <c r="N70" s="24">
        <f t="shared" si="52"/>
        <v>76072791.545046955</v>
      </c>
      <c r="O70" s="24">
        <f t="shared" si="52"/>
        <v>74098822.299900174</v>
      </c>
      <c r="P70" s="24">
        <f t="shared" si="52"/>
        <v>72023933.545044661</v>
      </c>
      <c r="Q70" s="24">
        <f t="shared" si="52"/>
        <v>69849946.161058813</v>
      </c>
      <c r="R70" s="24">
        <f t="shared" si="52"/>
        <v>67578699.973350227</v>
      </c>
      <c r="S70" s="23"/>
    </row>
    <row r="71" spans="1:19" x14ac:dyDescent="0.2">
      <c r="A71" s="22" t="s">
        <v>21</v>
      </c>
      <c r="B71" s="22"/>
      <c r="C71" s="22"/>
      <c r="D71" s="22"/>
      <c r="E71" s="22"/>
      <c r="F71" s="22"/>
      <c r="G71" s="22"/>
      <c r="H71" s="22"/>
      <c r="I71" s="26">
        <f>SUM(I68:I70)</f>
        <v>78800569.847333297</v>
      </c>
      <c r="J71" s="26">
        <f t="shared" ref="J71:R71" si="53">SUM(J68:J70)</f>
        <v>123343776.78130457</v>
      </c>
      <c r="K71" s="26">
        <f t="shared" si="53"/>
        <v>122806390.70177123</v>
      </c>
      <c r="L71" s="26">
        <f t="shared" si="53"/>
        <v>122164528.01510268</v>
      </c>
      <c r="M71" s="26">
        <f t="shared" si="53"/>
        <v>121419712.76986277</v>
      </c>
      <c r="N71" s="26">
        <f t="shared" si="53"/>
        <v>120573508.24129325</v>
      </c>
      <c r="O71" s="26">
        <f t="shared" si="53"/>
        <v>119627513.08911699</v>
      </c>
      <c r="P71" s="26">
        <f t="shared" si="53"/>
        <v>118583357.69938433</v>
      </c>
      <c r="Q71" s="26">
        <f t="shared" si="53"/>
        <v>117442700.70328943</v>
      </c>
      <c r="R71" s="26">
        <f t="shared" si="53"/>
        <v>116207225.66612759</v>
      </c>
      <c r="S71" s="34" t="s">
        <v>22</v>
      </c>
    </row>
    <row r="72" spans="1:19" x14ac:dyDescent="0.2">
      <c r="A72" s="22" t="s">
        <v>25</v>
      </c>
      <c r="J72" s="23"/>
      <c r="K72" s="23"/>
      <c r="L72" s="23"/>
      <c r="M72" s="23"/>
      <c r="N72" s="23"/>
      <c r="O72" s="23"/>
      <c r="P72" s="23"/>
      <c r="Q72" s="23"/>
      <c r="S72" s="26">
        <f>SUM(I71:R71)</f>
        <v>1160969283.5145862</v>
      </c>
    </row>
    <row r="73" spans="1:19" x14ac:dyDescent="0.2">
      <c r="A73" s="23" t="s">
        <v>81</v>
      </c>
      <c r="B73" s="23"/>
      <c r="C73" s="23"/>
      <c r="D73" s="23"/>
      <c r="E73" s="23"/>
      <c r="F73" s="23">
        <v>0</v>
      </c>
      <c r="G73" s="23"/>
      <c r="H73" s="23"/>
      <c r="I73" s="27">
        <f>F73/20</f>
        <v>0</v>
      </c>
      <c r="J73" s="27">
        <f>I73</f>
        <v>0</v>
      </c>
      <c r="K73" s="27">
        <f t="shared" ref="K73:R73" si="54">J73</f>
        <v>0</v>
      </c>
      <c r="L73" s="27">
        <f t="shared" si="54"/>
        <v>0</v>
      </c>
      <c r="M73" s="27">
        <f t="shared" si="54"/>
        <v>0</v>
      </c>
      <c r="N73" s="27">
        <f t="shared" si="54"/>
        <v>0</v>
      </c>
      <c r="O73" s="27">
        <f t="shared" si="54"/>
        <v>0</v>
      </c>
      <c r="P73" s="27">
        <f t="shared" si="54"/>
        <v>0</v>
      </c>
      <c r="Q73" s="27">
        <f t="shared" si="54"/>
        <v>0</v>
      </c>
      <c r="R73" s="27">
        <f t="shared" si="54"/>
        <v>0</v>
      </c>
      <c r="S73" s="23"/>
    </row>
    <row r="74" spans="1:19" x14ac:dyDescent="0.2">
      <c r="A74" s="22" t="s">
        <v>24</v>
      </c>
      <c r="B74" s="23"/>
      <c r="C74" s="23"/>
      <c r="D74" s="23"/>
      <c r="E74" s="23"/>
      <c r="F74" s="23"/>
      <c r="G74" s="23"/>
      <c r="H74" s="23"/>
      <c r="I74" s="28">
        <f>SUM(I73+I71)</f>
        <v>78800569.847333297</v>
      </c>
      <c r="J74" s="28">
        <f t="shared" ref="J74:R74" si="55">SUM(J73+J71)</f>
        <v>123343776.78130457</v>
      </c>
      <c r="K74" s="28">
        <f t="shared" si="55"/>
        <v>122806390.70177123</v>
      </c>
      <c r="L74" s="28">
        <f t="shared" si="55"/>
        <v>122164528.01510268</v>
      </c>
      <c r="M74" s="28">
        <f t="shared" si="55"/>
        <v>121419712.76986277</v>
      </c>
      <c r="N74" s="28">
        <f t="shared" si="55"/>
        <v>120573508.24129325</v>
      </c>
      <c r="O74" s="28">
        <f t="shared" si="55"/>
        <v>119627513.08911699</v>
      </c>
      <c r="P74" s="28">
        <f t="shared" si="55"/>
        <v>118583357.69938433</v>
      </c>
      <c r="Q74" s="28">
        <f t="shared" si="55"/>
        <v>117442700.70328943</v>
      </c>
      <c r="R74" s="28">
        <f t="shared" si="55"/>
        <v>116207225.66612759</v>
      </c>
    </row>
    <row r="75" spans="1:19" x14ac:dyDescent="0.2">
      <c r="A75" s="15" t="s">
        <v>26</v>
      </c>
      <c r="S75" s="26">
        <f>SUM(I74:R74)</f>
        <v>1160969283.5145862</v>
      </c>
    </row>
    <row r="76" spans="1:19" x14ac:dyDescent="0.2">
      <c r="A76" s="15"/>
      <c r="R76" s="26"/>
    </row>
    <row r="77" spans="1:19" x14ac:dyDescent="0.2">
      <c r="A77" s="22" t="s">
        <v>29</v>
      </c>
      <c r="B77" s="22"/>
      <c r="C77" s="22"/>
      <c r="D77" s="23"/>
      <c r="E77" s="23"/>
      <c r="F77" s="23"/>
      <c r="G77" s="23"/>
      <c r="H77" s="23" t="s">
        <v>28</v>
      </c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</row>
    <row r="78" spans="1:19" x14ac:dyDescent="0.2">
      <c r="A78" s="23" t="s">
        <v>19</v>
      </c>
      <c r="B78" s="23"/>
      <c r="C78" s="23"/>
      <c r="D78" s="23"/>
      <c r="E78" s="23"/>
      <c r="F78" s="23"/>
      <c r="G78" s="23"/>
      <c r="H78" s="24">
        <f>H57</f>
        <v>47.643125769627581</v>
      </c>
      <c r="I78" s="24">
        <f t="shared" ref="I78:R78" si="56">I15*($H$57*(1+0.02*(I2-2022)))</f>
        <v>30443560.01298666</v>
      </c>
      <c r="J78" s="24">
        <f t="shared" si="56"/>
        <v>31203948.070879508</v>
      </c>
      <c r="K78" s="24">
        <f t="shared" si="56"/>
        <v>31966896.838885136</v>
      </c>
      <c r="L78" s="24">
        <f t="shared" si="56"/>
        <v>32732264.858390987</v>
      </c>
      <c r="M78" s="24">
        <f t="shared" si="56"/>
        <v>33499915.81110758</v>
      </c>
      <c r="N78" s="24">
        <f t="shared" si="56"/>
        <v>34269718.357723519</v>
      </c>
      <c r="O78" s="24">
        <f t="shared" si="56"/>
        <v>35041545.98125679</v>
      </c>
      <c r="P78" s="24">
        <f t="shared" si="56"/>
        <v>35815276.834971808</v>
      </c>
      <c r="Q78" s="24">
        <f t="shared" si="56"/>
        <v>36590793.594735138</v>
      </c>
      <c r="R78" s="24">
        <f t="shared" si="56"/>
        <v>37367983.31568642</v>
      </c>
      <c r="S78" s="23"/>
    </row>
    <row r="79" spans="1:19" x14ac:dyDescent="0.2">
      <c r="A79" s="23" t="s">
        <v>74</v>
      </c>
      <c r="B79" s="23"/>
      <c r="C79" s="23"/>
      <c r="D79" s="23"/>
      <c r="E79" s="23"/>
      <c r="F79" s="23"/>
      <c r="G79" s="23"/>
      <c r="H79" s="24">
        <f>H58</f>
        <v>78.280771161677052</v>
      </c>
      <c r="I79" s="24">
        <f>I16*($H$58*(1+0.05*(I2-2022)))</f>
        <v>24462740.988024082</v>
      </c>
      <c r="J79" s="24">
        <f t="shared" ref="J79:R79" si="57">J16*($H$58*(1+0.05*(J2-2022)))</f>
        <v>0</v>
      </c>
      <c r="K79" s="24">
        <f t="shared" si="57"/>
        <v>0</v>
      </c>
      <c r="L79" s="24">
        <f t="shared" si="57"/>
        <v>0</v>
      </c>
      <c r="M79" s="24">
        <f t="shared" si="57"/>
        <v>0</v>
      </c>
      <c r="N79" s="24">
        <f t="shared" si="57"/>
        <v>0</v>
      </c>
      <c r="O79" s="24">
        <f t="shared" si="57"/>
        <v>0</v>
      </c>
      <c r="P79" s="24">
        <f t="shared" si="57"/>
        <v>0</v>
      </c>
      <c r="Q79" s="24">
        <f t="shared" si="57"/>
        <v>0</v>
      </c>
      <c r="R79" s="24">
        <f t="shared" si="57"/>
        <v>0</v>
      </c>
      <c r="S79" s="23"/>
    </row>
    <row r="80" spans="1:19" x14ac:dyDescent="0.2">
      <c r="A80" s="23" t="s">
        <v>20</v>
      </c>
      <c r="B80" s="23"/>
      <c r="C80" s="23"/>
      <c r="D80" s="23"/>
      <c r="E80" s="23"/>
      <c r="F80" s="23"/>
      <c r="G80" s="23"/>
      <c r="H80" s="24">
        <f>H59</f>
        <v>117.41999999999999</v>
      </c>
      <c r="I80" s="24">
        <f t="shared" ref="I80:R80" si="58">I17*($H$59*(1+0.02*(I2-2022)))</f>
        <v>5986411.8659972344</v>
      </c>
      <c r="J80" s="24">
        <f t="shared" si="58"/>
        <v>59050005.416187815</v>
      </c>
      <c r="K80" s="24">
        <f t="shared" si="58"/>
        <v>57906793.244934581</v>
      </c>
      <c r="L80" s="24">
        <f t="shared" si="58"/>
        <v>56689562.924935549</v>
      </c>
      <c r="M80" s="24">
        <f t="shared" si="58"/>
        <v>55399525.851921894</v>
      </c>
      <c r="N80" s="24">
        <f t="shared" si="58"/>
        <v>54037913.994067825</v>
      </c>
      <c r="O80" s="24">
        <f t="shared" si="58"/>
        <v>52605977.458787881</v>
      </c>
      <c r="P80" s="24">
        <f t="shared" si="58"/>
        <v>51104982.179850571</v>
      </c>
      <c r="Q80" s="24">
        <f t="shared" si="58"/>
        <v>49536207.720121376</v>
      </c>
      <c r="R80" s="24">
        <f t="shared" si="58"/>
        <v>47900945.185411252</v>
      </c>
      <c r="S80" s="23"/>
    </row>
    <row r="81" spans="1:19" x14ac:dyDescent="0.2">
      <c r="A81" s="22" t="s">
        <v>21</v>
      </c>
      <c r="B81" s="22"/>
      <c r="C81" s="22"/>
      <c r="D81" s="22"/>
      <c r="E81" s="22"/>
      <c r="F81" s="22"/>
      <c r="G81" s="22"/>
      <c r="H81" s="22"/>
      <c r="I81" s="26">
        <f>SUM(I78:I80)</f>
        <v>60892712.867007978</v>
      </c>
      <c r="J81" s="26">
        <f t="shared" ref="J81:R81" si="59">SUM(J78:J80)</f>
        <v>90253953.487067327</v>
      </c>
      <c r="K81" s="26">
        <f t="shared" si="59"/>
        <v>89873690.083819717</v>
      </c>
      <c r="L81" s="26">
        <f t="shared" si="59"/>
        <v>89421827.783326536</v>
      </c>
      <c r="M81" s="26">
        <f t="shared" si="59"/>
        <v>88899441.663029477</v>
      </c>
      <c r="N81" s="26">
        <f t="shared" si="59"/>
        <v>88307632.351791352</v>
      </c>
      <c r="O81" s="26">
        <f t="shared" si="59"/>
        <v>87647523.440044671</v>
      </c>
      <c r="P81" s="26">
        <f t="shared" si="59"/>
        <v>86920259.014822379</v>
      </c>
      <c r="Q81" s="26">
        <f t="shared" si="59"/>
        <v>86127001.314856514</v>
      </c>
      <c r="R81" s="26">
        <f t="shared" si="59"/>
        <v>85268928.501097679</v>
      </c>
      <c r="S81" s="34" t="s">
        <v>22</v>
      </c>
    </row>
    <row r="82" spans="1:19" x14ac:dyDescent="0.2">
      <c r="A82" s="22" t="s">
        <v>25</v>
      </c>
      <c r="J82" s="23"/>
      <c r="K82" s="23"/>
      <c r="L82" s="23"/>
      <c r="M82" s="23"/>
      <c r="N82" s="23"/>
      <c r="O82" s="23"/>
      <c r="P82" s="23"/>
      <c r="Q82" s="23"/>
      <c r="S82" s="26">
        <f>SUM(I81:R81)</f>
        <v>853612970.50686359</v>
      </c>
    </row>
    <row r="83" spans="1:19" x14ac:dyDescent="0.2">
      <c r="A83" s="23" t="s">
        <v>81</v>
      </c>
      <c r="B83" s="23"/>
      <c r="C83" s="23"/>
      <c r="D83" s="23"/>
      <c r="E83" s="23"/>
      <c r="F83" s="23">
        <v>0</v>
      </c>
      <c r="G83" s="23"/>
      <c r="H83" s="23"/>
      <c r="I83" s="27">
        <f>F83/20</f>
        <v>0</v>
      </c>
      <c r="J83" s="27">
        <f>I83</f>
        <v>0</v>
      </c>
      <c r="K83" s="27">
        <f t="shared" ref="K83:R83" si="60">J83</f>
        <v>0</v>
      </c>
      <c r="L83" s="27">
        <f t="shared" si="60"/>
        <v>0</v>
      </c>
      <c r="M83" s="27">
        <f t="shared" si="60"/>
        <v>0</v>
      </c>
      <c r="N83" s="27">
        <f t="shared" si="60"/>
        <v>0</v>
      </c>
      <c r="O83" s="27">
        <f t="shared" si="60"/>
        <v>0</v>
      </c>
      <c r="P83" s="27">
        <f t="shared" si="60"/>
        <v>0</v>
      </c>
      <c r="Q83" s="27">
        <f t="shared" si="60"/>
        <v>0</v>
      </c>
      <c r="R83" s="27">
        <f t="shared" si="60"/>
        <v>0</v>
      </c>
      <c r="S83" s="23"/>
    </row>
    <row r="84" spans="1:19" x14ac:dyDescent="0.2">
      <c r="A84" s="22" t="s">
        <v>24</v>
      </c>
      <c r="B84" s="23"/>
      <c r="C84" s="23"/>
      <c r="D84" s="23"/>
      <c r="E84" s="23"/>
      <c r="F84" s="23"/>
      <c r="G84" s="23"/>
      <c r="H84" s="23"/>
      <c r="I84" s="28">
        <f>SUM(I83+I81)</f>
        <v>60892712.867007978</v>
      </c>
      <c r="J84" s="28">
        <f t="shared" ref="J84:R84" si="61">SUM(J83+J81)</f>
        <v>90253953.487067327</v>
      </c>
      <c r="K84" s="28">
        <f t="shared" si="61"/>
        <v>89873690.083819717</v>
      </c>
      <c r="L84" s="28">
        <f t="shared" si="61"/>
        <v>89421827.783326536</v>
      </c>
      <c r="M84" s="28">
        <f t="shared" si="61"/>
        <v>88899441.663029477</v>
      </c>
      <c r="N84" s="28">
        <f t="shared" si="61"/>
        <v>88307632.351791352</v>
      </c>
      <c r="O84" s="28">
        <f t="shared" si="61"/>
        <v>87647523.440044671</v>
      </c>
      <c r="P84" s="28">
        <f t="shared" si="61"/>
        <v>86920259.014822379</v>
      </c>
      <c r="Q84" s="28">
        <f t="shared" si="61"/>
        <v>86127001.314856514</v>
      </c>
      <c r="R84" s="28">
        <f t="shared" si="61"/>
        <v>85268928.501097679</v>
      </c>
    </row>
    <row r="85" spans="1:19" x14ac:dyDescent="0.2">
      <c r="A85" s="15" t="s">
        <v>26</v>
      </c>
      <c r="S85" s="26">
        <f>SUM(I84:R84)</f>
        <v>853612970.50686359</v>
      </c>
    </row>
    <row r="86" spans="1:19" s="41" customFormat="1" x14ac:dyDescent="0.2"/>
    <row r="87" spans="1:19" x14ac:dyDescent="0.2">
      <c r="A87" s="15" t="s">
        <v>15</v>
      </c>
    </row>
    <row r="88" spans="1:19" x14ac:dyDescent="0.2">
      <c r="A88" s="22" t="s">
        <v>33</v>
      </c>
      <c r="B88" s="22"/>
      <c r="C88" s="22"/>
      <c r="D88" s="23"/>
      <c r="E88" s="23"/>
      <c r="F88" s="23"/>
      <c r="G88" s="23"/>
      <c r="H88" s="23" t="s">
        <v>18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</row>
    <row r="89" spans="1:19" x14ac:dyDescent="0.2">
      <c r="A89" s="23" t="s">
        <v>19</v>
      </c>
      <c r="B89" s="23"/>
      <c r="C89" s="23"/>
      <c r="D89" s="23"/>
      <c r="E89" s="23"/>
      <c r="F89" s="23"/>
      <c r="G89" s="23"/>
      <c r="H89" s="24">
        <f>H48</f>
        <v>64</v>
      </c>
      <c r="I89" s="24">
        <f t="shared" ref="I89:R89" si="62">I25*($H$89*(1+0.02*(I2-2024)))</f>
        <v>39408358.363605917</v>
      </c>
      <c r="J89" s="24">
        <f t="shared" si="62"/>
        <v>40736316.680244975</v>
      </c>
      <c r="K89" s="24">
        <f t="shared" si="62"/>
        <v>42056158.269311115</v>
      </c>
      <c r="L89" s="24">
        <f t="shared" si="62"/>
        <v>43367774.907770023</v>
      </c>
      <c r="M89" s="24">
        <f t="shared" si="62"/>
        <v>44671089.486709759</v>
      </c>
      <c r="N89" s="24">
        <f t="shared" si="62"/>
        <v>45966053.1704861</v>
      </c>
      <c r="O89" s="24">
        <f t="shared" si="62"/>
        <v>47252642.762168035</v>
      </c>
      <c r="P89" s="24">
        <f t="shared" si="62"/>
        <v>48530858.261755556</v>
      </c>
      <c r="Q89" s="24">
        <f t="shared" si="62"/>
        <v>47144782.234460779</v>
      </c>
      <c r="R89" s="24">
        <f t="shared" si="62"/>
        <v>45576102.167339653</v>
      </c>
      <c r="S89" s="23"/>
    </row>
    <row r="90" spans="1:19" x14ac:dyDescent="0.2">
      <c r="A90" s="23" t="s">
        <v>74</v>
      </c>
      <c r="B90" s="23"/>
      <c r="C90" s="23"/>
      <c r="D90" s="23"/>
      <c r="E90" s="23"/>
      <c r="F90" s="23"/>
      <c r="G90" s="23"/>
      <c r="H90" s="24">
        <f>H49</f>
        <v>107.23583695223056</v>
      </c>
      <c r="I90" s="24">
        <f>I26*($H$90*(1+0.05*(I2-2024)))</f>
        <v>30830303.123766281</v>
      </c>
      <c r="J90" s="24">
        <f t="shared" ref="J90:R90" si="63">J26*($H$90*(1+0.05*(J2-2024)))</f>
        <v>0</v>
      </c>
      <c r="K90" s="24">
        <f t="shared" si="63"/>
        <v>0</v>
      </c>
      <c r="L90" s="24">
        <f t="shared" si="63"/>
        <v>0</v>
      </c>
      <c r="M90" s="24">
        <f t="shared" si="63"/>
        <v>0</v>
      </c>
      <c r="N90" s="24">
        <f t="shared" si="63"/>
        <v>0</v>
      </c>
      <c r="O90" s="24">
        <f t="shared" si="63"/>
        <v>0</v>
      </c>
      <c r="P90" s="24">
        <f t="shared" si="63"/>
        <v>0</v>
      </c>
      <c r="Q90" s="24">
        <f t="shared" si="63"/>
        <v>0</v>
      </c>
      <c r="R90" s="24">
        <f t="shared" si="63"/>
        <v>0</v>
      </c>
      <c r="S90" s="23"/>
    </row>
    <row r="91" spans="1:19" x14ac:dyDescent="0.2">
      <c r="A91" s="23" t="s">
        <v>20</v>
      </c>
      <c r="B91" s="23"/>
      <c r="C91" s="23"/>
      <c r="D91" s="23"/>
      <c r="E91" s="23"/>
      <c r="F91" s="23"/>
      <c r="G91" s="23"/>
      <c r="H91" s="24">
        <f>H50</f>
        <v>171</v>
      </c>
      <c r="I91" s="24">
        <f t="shared" ref="I91:R91" si="64">I27*($H$91*(1+0.02*(I2-2024)))</f>
        <v>8401054.6045327485</v>
      </c>
      <c r="J91" s="24">
        <f t="shared" si="64"/>
        <v>46148295.171889678</v>
      </c>
      <c r="K91" s="24">
        <f t="shared" si="64"/>
        <v>38555336.469656296</v>
      </c>
      <c r="L91" s="24">
        <f t="shared" si="64"/>
        <v>30945593.027190391</v>
      </c>
      <c r="M91" s="24">
        <f t="shared" si="64"/>
        <v>23326950.308897108</v>
      </c>
      <c r="N91" s="24">
        <f t="shared" si="64"/>
        <v>15706784.114910368</v>
      </c>
      <c r="O91" s="24">
        <f t="shared" si="64"/>
        <v>8091979.9878429631</v>
      </c>
      <c r="P91" s="24">
        <f t="shared" si="64"/>
        <v>488952.54532326339</v>
      </c>
      <c r="Q91" s="24">
        <f t="shared" si="64"/>
        <v>0</v>
      </c>
      <c r="R91" s="24">
        <f t="shared" si="64"/>
        <v>0</v>
      </c>
      <c r="S91" s="23" t="s">
        <v>35</v>
      </c>
    </row>
    <row r="92" spans="1:19" x14ac:dyDescent="0.2">
      <c r="A92" s="22" t="s">
        <v>21</v>
      </c>
      <c r="B92" s="22"/>
      <c r="C92" s="22"/>
      <c r="D92" s="22"/>
      <c r="E92" s="22"/>
      <c r="F92" s="22"/>
      <c r="G92" s="22"/>
      <c r="H92" s="22"/>
      <c r="I92" s="26">
        <f>SUM(I89:I91)</f>
        <v>78639716.091904938</v>
      </c>
      <c r="J92" s="26">
        <f t="shared" ref="J92:R92" si="65">SUM(J89:J91)</f>
        <v>86884611.852134645</v>
      </c>
      <c r="K92" s="26">
        <f t="shared" si="65"/>
        <v>80611494.738967419</v>
      </c>
      <c r="L92" s="26">
        <f t="shared" si="65"/>
        <v>74313367.93496041</v>
      </c>
      <c r="M92" s="26">
        <f t="shared" si="65"/>
        <v>67998039.795606866</v>
      </c>
      <c r="N92" s="26">
        <f t="shared" si="65"/>
        <v>61672837.285396472</v>
      </c>
      <c r="O92" s="26">
        <f t="shared" si="65"/>
        <v>55344622.750010997</v>
      </c>
      <c r="P92" s="26">
        <f t="shared" si="65"/>
        <v>49019810.807078816</v>
      </c>
      <c r="Q92" s="26">
        <f t="shared" si="65"/>
        <v>47144782.234460779</v>
      </c>
      <c r="R92" s="26">
        <f t="shared" si="65"/>
        <v>45576102.167339653</v>
      </c>
      <c r="S92" s="34" t="s">
        <v>22</v>
      </c>
    </row>
    <row r="93" spans="1:19" x14ac:dyDescent="0.2">
      <c r="A93" s="22" t="s">
        <v>25</v>
      </c>
      <c r="J93" s="23"/>
      <c r="K93" s="23"/>
      <c r="L93" s="23"/>
      <c r="M93" s="23"/>
      <c r="N93" s="23"/>
      <c r="O93" s="23"/>
      <c r="P93" s="23"/>
      <c r="Q93" s="23"/>
      <c r="S93" s="26">
        <f>SUM(I92:R92)</f>
        <v>647205385.65786111</v>
      </c>
    </row>
    <row r="94" spans="1:19" x14ac:dyDescent="0.2">
      <c r="A94" s="23" t="s">
        <v>81</v>
      </c>
      <c r="B94" s="23"/>
      <c r="C94" s="23"/>
      <c r="D94" s="23"/>
      <c r="E94" s="23"/>
      <c r="F94" s="23">
        <v>0</v>
      </c>
      <c r="G94" s="23"/>
      <c r="H94" s="23"/>
      <c r="I94" s="27">
        <f>F94/20</f>
        <v>0</v>
      </c>
      <c r="J94" s="27">
        <f>I94</f>
        <v>0</v>
      </c>
      <c r="K94" s="27">
        <f t="shared" ref="K94:R94" si="66">J94</f>
        <v>0</v>
      </c>
      <c r="L94" s="27">
        <f t="shared" si="66"/>
        <v>0</v>
      </c>
      <c r="M94" s="27">
        <f t="shared" si="66"/>
        <v>0</v>
      </c>
      <c r="N94" s="27">
        <f t="shared" si="66"/>
        <v>0</v>
      </c>
      <c r="O94" s="27">
        <f t="shared" si="66"/>
        <v>0</v>
      </c>
      <c r="P94" s="27">
        <f t="shared" si="66"/>
        <v>0</v>
      </c>
      <c r="Q94" s="27">
        <f t="shared" si="66"/>
        <v>0</v>
      </c>
      <c r="R94" s="27">
        <f t="shared" si="66"/>
        <v>0</v>
      </c>
      <c r="S94" s="23"/>
    </row>
    <row r="95" spans="1:19" x14ac:dyDescent="0.2">
      <c r="A95" s="22" t="s">
        <v>24</v>
      </c>
      <c r="B95" s="23"/>
      <c r="C95" s="23"/>
      <c r="D95" s="23"/>
      <c r="E95" s="23"/>
      <c r="F95" s="23"/>
      <c r="G95" s="23"/>
      <c r="H95" s="23"/>
      <c r="I95" s="28">
        <f>SUM(I94+I92)</f>
        <v>78639716.091904938</v>
      </c>
      <c r="J95" s="28">
        <f t="shared" ref="J95:R95" si="67">SUM(J94+J92)</f>
        <v>86884611.852134645</v>
      </c>
      <c r="K95" s="28">
        <f t="shared" si="67"/>
        <v>80611494.738967419</v>
      </c>
      <c r="L95" s="28">
        <f t="shared" si="67"/>
        <v>74313367.93496041</v>
      </c>
      <c r="M95" s="28">
        <f t="shared" si="67"/>
        <v>67998039.795606866</v>
      </c>
      <c r="N95" s="28">
        <f t="shared" si="67"/>
        <v>61672837.285396472</v>
      </c>
      <c r="O95" s="28">
        <f t="shared" si="67"/>
        <v>55344622.750010997</v>
      </c>
      <c r="P95" s="28">
        <f t="shared" si="67"/>
        <v>49019810.807078816</v>
      </c>
      <c r="Q95" s="28">
        <f t="shared" si="67"/>
        <v>47144782.234460779</v>
      </c>
      <c r="R95" s="28">
        <f t="shared" si="67"/>
        <v>45576102.167339653</v>
      </c>
    </row>
    <row r="96" spans="1:19" x14ac:dyDescent="0.2">
      <c r="A96" s="15" t="s">
        <v>26</v>
      </c>
      <c r="S96" s="26">
        <f>SUM(I95:R95)</f>
        <v>647205385.65786111</v>
      </c>
    </row>
    <row r="97" spans="1:19" x14ac:dyDescent="0.2">
      <c r="A97" s="15"/>
      <c r="R97" s="26"/>
    </row>
    <row r="98" spans="1:19" x14ac:dyDescent="0.2">
      <c r="A98" s="22" t="s">
        <v>34</v>
      </c>
      <c r="B98" s="22"/>
      <c r="C98" s="22"/>
      <c r="D98" s="23"/>
      <c r="E98" s="23"/>
      <c r="F98" s="23"/>
      <c r="G98" s="23"/>
      <c r="H98" s="23" t="s">
        <v>28</v>
      </c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</row>
    <row r="99" spans="1:19" x14ac:dyDescent="0.2">
      <c r="A99" s="23" t="s">
        <v>19</v>
      </c>
      <c r="B99" s="23"/>
      <c r="C99" s="23"/>
      <c r="D99" s="23"/>
      <c r="E99" s="23"/>
      <c r="F99" s="23"/>
      <c r="G99" s="23"/>
      <c r="H99" s="24">
        <f>H78</f>
        <v>47.643125769627581</v>
      </c>
      <c r="I99" s="24">
        <f t="shared" ref="I99:R99" si="68">I25*($H$57*(1+0.02*(I2-2022)))</f>
        <v>30443560.01298666</v>
      </c>
      <c r="J99" s="24">
        <f t="shared" si="68"/>
        <v>31448236.603976905</v>
      </c>
      <c r="K99" s="24">
        <f t="shared" si="68"/>
        <v>32446065.271389965</v>
      </c>
      <c r="L99" s="24">
        <f t="shared" si="68"/>
        <v>33437005.733322427</v>
      </c>
      <c r="M99" s="24">
        <f t="shared" si="68"/>
        <v>34421038.855870195</v>
      </c>
      <c r="N99" s="24">
        <f t="shared" si="68"/>
        <v>35398164.639033265</v>
      </c>
      <c r="O99" s="24">
        <f t="shared" si="68"/>
        <v>36368400.351160087</v>
      </c>
      <c r="P99" s="24">
        <f t="shared" si="68"/>
        <v>37331778.802112751</v>
      </c>
      <c r="Q99" s="24">
        <f t="shared" si="68"/>
        <v>36246378.517116159</v>
      </c>
      <c r="R99" s="24">
        <f t="shared" si="68"/>
        <v>35022386.574967086</v>
      </c>
      <c r="S99" s="23"/>
    </row>
    <row r="100" spans="1:19" x14ac:dyDescent="0.2">
      <c r="A100" s="23" t="s">
        <v>74</v>
      </c>
      <c r="B100" s="23"/>
      <c r="C100" s="23"/>
      <c r="D100" s="23"/>
      <c r="E100" s="23"/>
      <c r="F100" s="23"/>
      <c r="G100" s="23"/>
      <c r="H100" s="24">
        <f>H79</f>
        <v>78.280771161677052</v>
      </c>
      <c r="I100" s="24">
        <f>I26*($H$58*(1+0.05*(I2-2022)))</f>
        <v>24462740.988024082</v>
      </c>
      <c r="J100" s="24">
        <f t="shared" ref="J100:R100" si="69">J26*($H$58*(1+0.05*(J2-2022)))</f>
        <v>0</v>
      </c>
      <c r="K100" s="24">
        <f t="shared" si="69"/>
        <v>0</v>
      </c>
      <c r="L100" s="24">
        <f t="shared" si="69"/>
        <v>0</v>
      </c>
      <c r="M100" s="24">
        <f t="shared" si="69"/>
        <v>0</v>
      </c>
      <c r="N100" s="24">
        <f t="shared" si="69"/>
        <v>0</v>
      </c>
      <c r="O100" s="24">
        <f t="shared" si="69"/>
        <v>0</v>
      </c>
      <c r="P100" s="24">
        <f t="shared" si="69"/>
        <v>0</v>
      </c>
      <c r="Q100" s="24">
        <f t="shared" si="69"/>
        <v>0</v>
      </c>
      <c r="R100" s="24">
        <f t="shared" si="69"/>
        <v>0</v>
      </c>
      <c r="S100" s="23"/>
    </row>
    <row r="101" spans="1:19" x14ac:dyDescent="0.2">
      <c r="A101" s="23" t="s">
        <v>20</v>
      </c>
      <c r="B101" s="23"/>
      <c r="C101" s="23"/>
      <c r="D101" s="23"/>
      <c r="E101" s="23"/>
      <c r="F101" s="23"/>
      <c r="G101" s="23"/>
      <c r="H101" s="24">
        <f>H80</f>
        <v>117.41999999999999</v>
      </c>
      <c r="I101" s="24">
        <f t="shared" ref="I101:R101" si="70">I27*($H$59*(1+0.02*(I2-2022)))</f>
        <v>5986411.8659972344</v>
      </c>
      <c r="J101" s="24">
        <f t="shared" si="70"/>
        <v>32862144.018698722</v>
      </c>
      <c r="K101" s="24">
        <f t="shared" si="70"/>
        <v>27437379.444042675</v>
      </c>
      <c r="L101" s="24">
        <f t="shared" si="70"/>
        <v>22008211.041004211</v>
      </c>
      <c r="M101" s="24">
        <f t="shared" si="70"/>
        <v>16579868.658148266</v>
      </c>
      <c r="N101" s="24">
        <f t="shared" si="70"/>
        <v>11157232.854039777</v>
      </c>
      <c r="O101" s="24">
        <f t="shared" si="70"/>
        <v>5744848.6173578911</v>
      </c>
      <c r="P101" s="24">
        <f t="shared" si="70"/>
        <v>346938.99493715109</v>
      </c>
      <c r="Q101" s="24">
        <f t="shared" si="70"/>
        <v>0</v>
      </c>
      <c r="R101" s="24">
        <f t="shared" si="70"/>
        <v>0</v>
      </c>
      <c r="S101" s="23" t="s">
        <v>36</v>
      </c>
    </row>
    <row r="102" spans="1:19" x14ac:dyDescent="0.2">
      <c r="A102" s="22" t="s">
        <v>21</v>
      </c>
      <c r="B102" s="22"/>
      <c r="C102" s="22"/>
      <c r="D102" s="22"/>
      <c r="E102" s="22"/>
      <c r="F102" s="22"/>
      <c r="G102" s="22"/>
      <c r="H102" s="22"/>
      <c r="I102" s="26">
        <f>SUM(I99:I101)</f>
        <v>60892712.867007978</v>
      </c>
      <c r="J102" s="26">
        <f t="shared" ref="J102:R102" si="71">SUM(J99:J101)</f>
        <v>64310380.622675627</v>
      </c>
      <c r="K102" s="26">
        <f t="shared" si="71"/>
        <v>59883444.715432644</v>
      </c>
      <c r="L102" s="26">
        <f t="shared" si="71"/>
        <v>55445216.774326637</v>
      </c>
      <c r="M102" s="26">
        <f t="shared" si="71"/>
        <v>51000907.514018461</v>
      </c>
      <c r="N102" s="26">
        <f t="shared" si="71"/>
        <v>46555397.493073046</v>
      </c>
      <c r="O102" s="26">
        <f t="shared" si="71"/>
        <v>42113248.968517974</v>
      </c>
      <c r="P102" s="26">
        <f t="shared" si="71"/>
        <v>37678717.797049902</v>
      </c>
      <c r="Q102" s="26">
        <f t="shared" si="71"/>
        <v>36246378.517116159</v>
      </c>
      <c r="R102" s="26">
        <f t="shared" si="71"/>
        <v>35022386.574967086</v>
      </c>
      <c r="S102" s="34" t="s">
        <v>22</v>
      </c>
    </row>
    <row r="103" spans="1:19" x14ac:dyDescent="0.2">
      <c r="A103" s="22" t="s">
        <v>25</v>
      </c>
      <c r="J103" s="23"/>
      <c r="K103" s="23"/>
      <c r="L103" s="23"/>
      <c r="M103" s="23"/>
      <c r="N103" s="23"/>
      <c r="O103" s="23"/>
      <c r="P103" s="23"/>
      <c r="Q103" s="23"/>
      <c r="S103" s="26">
        <f>SUM(I102:R102)</f>
        <v>489148791.84418553</v>
      </c>
    </row>
    <row r="104" spans="1:19" x14ac:dyDescent="0.2">
      <c r="A104" s="23" t="s">
        <v>81</v>
      </c>
      <c r="B104" s="23"/>
      <c r="C104" s="23"/>
      <c r="D104" s="23"/>
      <c r="E104" s="23"/>
      <c r="F104" s="23">
        <v>0</v>
      </c>
      <c r="G104" s="23"/>
      <c r="H104" s="23"/>
      <c r="I104" s="27">
        <f>F104/20</f>
        <v>0</v>
      </c>
      <c r="J104" s="27">
        <f>I104</f>
        <v>0</v>
      </c>
      <c r="K104" s="27">
        <f t="shared" ref="K104:R104" si="72">J104</f>
        <v>0</v>
      </c>
      <c r="L104" s="27">
        <f t="shared" si="72"/>
        <v>0</v>
      </c>
      <c r="M104" s="27">
        <f t="shared" si="72"/>
        <v>0</v>
      </c>
      <c r="N104" s="27">
        <f t="shared" si="72"/>
        <v>0</v>
      </c>
      <c r="O104" s="27">
        <f t="shared" si="72"/>
        <v>0</v>
      </c>
      <c r="P104" s="27">
        <f t="shared" si="72"/>
        <v>0</v>
      </c>
      <c r="Q104" s="27">
        <f t="shared" si="72"/>
        <v>0</v>
      </c>
      <c r="R104" s="27">
        <f t="shared" si="72"/>
        <v>0</v>
      </c>
      <c r="S104" s="23"/>
    </row>
    <row r="105" spans="1:19" x14ac:dyDescent="0.2">
      <c r="A105" s="22" t="s">
        <v>24</v>
      </c>
      <c r="B105" s="23"/>
      <c r="C105" s="23"/>
      <c r="D105" s="23"/>
      <c r="E105" s="23"/>
      <c r="F105" s="23"/>
      <c r="G105" s="23"/>
      <c r="H105" s="23"/>
      <c r="I105" s="28">
        <f>SUM(I104+I102)</f>
        <v>60892712.867007978</v>
      </c>
      <c r="J105" s="28">
        <f t="shared" ref="J105:R105" si="73">SUM(J104+J102)</f>
        <v>64310380.622675627</v>
      </c>
      <c r="K105" s="28">
        <f t="shared" si="73"/>
        <v>59883444.715432644</v>
      </c>
      <c r="L105" s="28">
        <f t="shared" si="73"/>
        <v>55445216.774326637</v>
      </c>
      <c r="M105" s="28">
        <f t="shared" si="73"/>
        <v>51000907.514018461</v>
      </c>
      <c r="N105" s="28">
        <f t="shared" si="73"/>
        <v>46555397.493073046</v>
      </c>
      <c r="O105" s="28">
        <f t="shared" si="73"/>
        <v>42113248.968517974</v>
      </c>
      <c r="P105" s="28">
        <f t="shared" si="73"/>
        <v>37678717.797049902</v>
      </c>
      <c r="Q105" s="28">
        <f t="shared" si="73"/>
        <v>36246378.517116159</v>
      </c>
      <c r="R105" s="28">
        <f t="shared" si="73"/>
        <v>35022386.574967086</v>
      </c>
    </row>
    <row r="106" spans="1:19" x14ac:dyDescent="0.2">
      <c r="A106" s="15" t="s">
        <v>26</v>
      </c>
      <c r="S106" s="26">
        <f>SUM(I105:R105)</f>
        <v>489148791.84418553</v>
      </c>
    </row>
    <row r="107" spans="1:19" s="41" customFormat="1" x14ac:dyDescent="0.2"/>
    <row r="108" spans="1:19" x14ac:dyDescent="0.2">
      <c r="A108" s="15" t="s">
        <v>102</v>
      </c>
    </row>
    <row r="109" spans="1:19" x14ac:dyDescent="0.2">
      <c r="A109" s="22" t="s">
        <v>104</v>
      </c>
      <c r="B109" s="22"/>
      <c r="C109" s="22"/>
      <c r="D109" s="23"/>
      <c r="E109" s="23"/>
      <c r="F109" s="23"/>
      <c r="G109" s="23"/>
      <c r="H109" s="23" t="s">
        <v>18</v>
      </c>
      <c r="I109" s="23"/>
      <c r="J109" s="23"/>
      <c r="K109" s="23"/>
      <c r="L109" s="23"/>
      <c r="M109" s="23"/>
      <c r="N109" s="23"/>
      <c r="O109" s="23"/>
      <c r="P109" s="23"/>
      <c r="Q109" s="23"/>
      <c r="R109" s="23"/>
      <c r="S109" s="23"/>
    </row>
    <row r="110" spans="1:19" x14ac:dyDescent="0.2">
      <c r="A110" s="23" t="s">
        <v>19</v>
      </c>
      <c r="B110" s="23"/>
      <c r="C110" s="23"/>
      <c r="D110" s="23"/>
      <c r="E110" s="23"/>
      <c r="F110" s="23"/>
      <c r="G110" s="23"/>
      <c r="H110" s="24">
        <f>H89</f>
        <v>64</v>
      </c>
      <c r="I110" s="24">
        <f t="shared" ref="I110:R110" si="74">I36*($H$110*(1+0.02*(I2-2024)))</f>
        <v>39408358.363605917</v>
      </c>
      <c r="J110" s="24">
        <f t="shared" si="74"/>
        <v>40728193.235806018</v>
      </c>
      <c r="K110" s="24">
        <f t="shared" si="74"/>
        <v>38886225.719942704</v>
      </c>
      <c r="L110" s="24">
        <f t="shared" si="74"/>
        <v>37029751.245431922</v>
      </c>
      <c r="M110" s="24">
        <f t="shared" si="74"/>
        <v>35161643.988285288</v>
      </c>
      <c r="N110" s="24">
        <f t="shared" si="74"/>
        <v>33284615.646242026</v>
      </c>
      <c r="O110" s="24">
        <f t="shared" si="74"/>
        <v>31401220.067559551</v>
      </c>
      <c r="P110" s="24">
        <f t="shared" si="74"/>
        <v>29513858.044800524</v>
      </c>
      <c r="Q110" s="24">
        <f t="shared" si="74"/>
        <v>27624782.234460779</v>
      </c>
      <c r="R110" s="24">
        <f t="shared" si="74"/>
        <v>25736102.167339653</v>
      </c>
      <c r="S110" s="23"/>
    </row>
    <row r="111" spans="1:19" x14ac:dyDescent="0.2">
      <c r="A111" s="23" t="s">
        <v>74</v>
      </c>
      <c r="B111" s="23"/>
      <c r="C111" s="23"/>
      <c r="D111" s="23"/>
      <c r="E111" s="23"/>
      <c r="F111" s="23"/>
      <c r="G111" s="23"/>
      <c r="H111" s="24">
        <f>H90</f>
        <v>107.23583695223056</v>
      </c>
      <c r="I111" s="24">
        <f>I37*($H$111*(1+0.05*(I2-2024)))</f>
        <v>30830303.123766281</v>
      </c>
      <c r="J111" s="24">
        <f t="shared" ref="J111:R111" si="75">J37*($H$111*(1+0.05*(J2-2024)))</f>
        <v>32170751.085669167</v>
      </c>
      <c r="K111" s="24">
        <f t="shared" si="75"/>
        <v>33511199.04757205</v>
      </c>
      <c r="L111" s="24">
        <f t="shared" si="75"/>
        <v>34851647.009474933</v>
      </c>
      <c r="M111" s="24">
        <f t="shared" si="75"/>
        <v>36192094.971377812</v>
      </c>
      <c r="N111" s="24">
        <f t="shared" si="75"/>
        <v>37532542.933280692</v>
      </c>
      <c r="O111" s="24">
        <f t="shared" si="75"/>
        <v>38872990.895183578</v>
      </c>
      <c r="P111" s="24">
        <f t="shared" si="75"/>
        <v>40213438.857086457</v>
      </c>
      <c r="Q111" s="24">
        <f t="shared" si="75"/>
        <v>41553886.818989344</v>
      </c>
      <c r="R111" s="24">
        <f t="shared" si="75"/>
        <v>42894334.780892223</v>
      </c>
      <c r="S111" s="23"/>
    </row>
    <row r="112" spans="1:19" x14ac:dyDescent="0.2">
      <c r="A112" s="23" t="s">
        <v>20</v>
      </c>
      <c r="B112" s="23"/>
      <c r="C112" s="23"/>
      <c r="D112" s="23"/>
      <c r="E112" s="23"/>
      <c r="F112" s="23"/>
      <c r="G112" s="23"/>
      <c r="H112" s="24">
        <f>H91</f>
        <v>171</v>
      </c>
      <c r="I112" s="24">
        <f t="shared" ref="I112:R112" si="76">I38*($H$112*(1+0.02*(I2-2024)))</f>
        <v>8401054.6045327485</v>
      </c>
      <c r="J112" s="24">
        <f t="shared" si="76"/>
        <v>0</v>
      </c>
      <c r="K112" s="24">
        <f t="shared" si="76"/>
        <v>0</v>
      </c>
      <c r="L112" s="24">
        <f t="shared" si="76"/>
        <v>0</v>
      </c>
      <c r="M112" s="24">
        <f t="shared" si="76"/>
        <v>0</v>
      </c>
      <c r="N112" s="24">
        <f t="shared" si="76"/>
        <v>0</v>
      </c>
      <c r="O112" s="24">
        <f t="shared" si="76"/>
        <v>0</v>
      </c>
      <c r="P112" s="24">
        <f t="shared" si="76"/>
        <v>0</v>
      </c>
      <c r="Q112" s="24">
        <f t="shared" si="76"/>
        <v>0</v>
      </c>
      <c r="R112" s="24">
        <f t="shared" si="76"/>
        <v>0</v>
      </c>
      <c r="S112" s="23" t="s">
        <v>35</v>
      </c>
    </row>
    <row r="113" spans="1:19" x14ac:dyDescent="0.2">
      <c r="A113" s="22" t="s">
        <v>21</v>
      </c>
      <c r="B113" s="22"/>
      <c r="C113" s="22"/>
      <c r="D113" s="22"/>
      <c r="E113" s="22"/>
      <c r="F113" s="22"/>
      <c r="G113" s="22"/>
      <c r="H113" s="22"/>
      <c r="I113" s="26">
        <f>SUM(I110:I112)</f>
        <v>78639716.091904938</v>
      </c>
      <c r="J113" s="26">
        <f t="shared" ref="J113:R113" si="77">SUM(J110:J112)</f>
        <v>72898944.321475178</v>
      </c>
      <c r="K113" s="26">
        <f t="shared" si="77"/>
        <v>72397424.76751475</v>
      </c>
      <c r="L113" s="26">
        <f t="shared" si="77"/>
        <v>71881398.254906863</v>
      </c>
      <c r="M113" s="26">
        <f t="shared" si="77"/>
        <v>71353738.959663093</v>
      </c>
      <c r="N113" s="26">
        <f t="shared" si="77"/>
        <v>70817158.579522714</v>
      </c>
      <c r="O113" s="26">
        <f t="shared" si="77"/>
        <v>70274210.962743133</v>
      </c>
      <c r="P113" s="26">
        <f t="shared" si="77"/>
        <v>69727296.901886985</v>
      </c>
      <c r="Q113" s="26">
        <f t="shared" si="77"/>
        <v>69178669.053450122</v>
      </c>
      <c r="R113" s="26">
        <f t="shared" si="77"/>
        <v>68630436.948231876</v>
      </c>
      <c r="S113" s="34" t="s">
        <v>22</v>
      </c>
    </row>
    <row r="114" spans="1:19" x14ac:dyDescent="0.2">
      <c r="A114" s="22" t="s">
        <v>25</v>
      </c>
      <c r="J114" s="23"/>
      <c r="K114" s="23"/>
      <c r="L114" s="23"/>
      <c r="M114" s="23"/>
      <c r="N114" s="23"/>
      <c r="O114" s="23"/>
      <c r="P114" s="23"/>
      <c r="Q114" s="23"/>
      <c r="S114" s="26">
        <f>SUM(I113:R113)</f>
        <v>715798994.84129953</v>
      </c>
    </row>
    <row r="115" spans="1:19" x14ac:dyDescent="0.2">
      <c r="A115" s="23" t="s">
        <v>81</v>
      </c>
      <c r="B115" s="23"/>
      <c r="C115" s="23"/>
      <c r="D115" s="23"/>
      <c r="E115" s="23"/>
      <c r="F115" s="24">
        <f>F62</f>
        <v>420000000</v>
      </c>
      <c r="G115" s="24"/>
      <c r="H115" s="23"/>
      <c r="I115" s="27">
        <f>F115/20</f>
        <v>21000000</v>
      </c>
      <c r="J115" s="27">
        <f>I115</f>
        <v>21000000</v>
      </c>
      <c r="K115" s="27">
        <f t="shared" ref="K115:R115" si="78">J115</f>
        <v>21000000</v>
      </c>
      <c r="L115" s="27">
        <f t="shared" si="78"/>
        <v>21000000</v>
      </c>
      <c r="M115" s="27">
        <f t="shared" si="78"/>
        <v>21000000</v>
      </c>
      <c r="N115" s="27">
        <f t="shared" si="78"/>
        <v>21000000</v>
      </c>
      <c r="O115" s="27">
        <f t="shared" si="78"/>
        <v>21000000</v>
      </c>
      <c r="P115" s="27">
        <f t="shared" si="78"/>
        <v>21000000</v>
      </c>
      <c r="Q115" s="27">
        <f t="shared" si="78"/>
        <v>21000000</v>
      </c>
      <c r="R115" s="27">
        <f t="shared" si="78"/>
        <v>21000000</v>
      </c>
      <c r="S115" s="23"/>
    </row>
    <row r="116" spans="1:19" x14ac:dyDescent="0.2">
      <c r="A116" s="22" t="s">
        <v>24</v>
      </c>
      <c r="B116" s="23"/>
      <c r="C116" s="23"/>
      <c r="D116" s="23"/>
      <c r="E116" s="23"/>
      <c r="F116" s="23"/>
      <c r="G116" s="23"/>
      <c r="H116" s="23"/>
      <c r="I116" s="28">
        <f>SUM(I115+I113)</f>
        <v>99639716.091904938</v>
      </c>
      <c r="J116" s="28">
        <f t="shared" ref="J116:R116" si="79">SUM(J115+J113)</f>
        <v>93898944.321475178</v>
      </c>
      <c r="K116" s="28">
        <f t="shared" si="79"/>
        <v>93397424.76751475</v>
      </c>
      <c r="L116" s="28">
        <f t="shared" si="79"/>
        <v>92881398.254906863</v>
      </c>
      <c r="M116" s="28">
        <f t="shared" si="79"/>
        <v>92353738.959663093</v>
      </c>
      <c r="N116" s="28">
        <f t="shared" si="79"/>
        <v>91817158.579522714</v>
      </c>
      <c r="O116" s="28">
        <f t="shared" si="79"/>
        <v>91274210.962743133</v>
      </c>
      <c r="P116" s="28">
        <f t="shared" si="79"/>
        <v>90727296.901886985</v>
      </c>
      <c r="Q116" s="28">
        <f t="shared" si="79"/>
        <v>90178669.053450122</v>
      </c>
      <c r="R116" s="28">
        <f t="shared" si="79"/>
        <v>89630436.948231876</v>
      </c>
    </row>
    <row r="117" spans="1:19" x14ac:dyDescent="0.2">
      <c r="A117" s="15" t="s">
        <v>26</v>
      </c>
      <c r="S117" s="26">
        <f>SUM(I116:R116)</f>
        <v>925798994.84129953</v>
      </c>
    </row>
    <row r="118" spans="1:19" x14ac:dyDescent="0.2">
      <c r="A118" s="15"/>
      <c r="R118" s="26"/>
    </row>
    <row r="119" spans="1:19" x14ac:dyDescent="0.2">
      <c r="A119" s="22" t="s">
        <v>105</v>
      </c>
      <c r="B119" s="22"/>
      <c r="C119" s="22"/>
      <c r="D119" s="23"/>
      <c r="E119" s="23"/>
      <c r="F119" s="23"/>
      <c r="G119" s="23"/>
      <c r="H119" s="23" t="s">
        <v>28</v>
      </c>
      <c r="I119" s="23"/>
      <c r="J119" s="23"/>
      <c r="K119" s="23"/>
      <c r="L119" s="23"/>
      <c r="M119" s="23"/>
      <c r="N119" s="23"/>
      <c r="O119" s="23"/>
      <c r="P119" s="23"/>
      <c r="Q119" s="23"/>
      <c r="R119" s="23"/>
      <c r="S119" s="23"/>
    </row>
    <row r="120" spans="1:19" x14ac:dyDescent="0.2">
      <c r="A120" s="23" t="s">
        <v>19</v>
      </c>
      <c r="B120" s="23"/>
      <c r="C120" s="23"/>
      <c r="D120" s="23"/>
      <c r="E120" s="23"/>
      <c r="F120" s="23"/>
      <c r="G120" s="23"/>
      <c r="H120" s="24">
        <f>H99</f>
        <v>47.643125769627581</v>
      </c>
      <c r="I120" s="24">
        <f t="shared" ref="I120:R120" si="80">I36*($H$120*(1+0.02*(I2-2022)))</f>
        <v>30443560.01298666</v>
      </c>
      <c r="J120" s="24">
        <f t="shared" si="80"/>
        <v>31441965.344727803</v>
      </c>
      <c r="K120" s="24">
        <f t="shared" si="80"/>
        <v>30000481.969556067</v>
      </c>
      <c r="L120" s="24">
        <f t="shared" si="80"/>
        <v>28550323.5370089</v>
      </c>
      <c r="M120" s="24">
        <f t="shared" si="80"/>
        <v>27093592.922490124</v>
      </c>
      <c r="N120" s="24">
        <f t="shared" si="80"/>
        <v>25632270.411006838</v>
      </c>
      <c r="O120" s="24">
        <f t="shared" si="80"/>
        <v>24168217.398545574</v>
      </c>
      <c r="P120" s="24">
        <f t="shared" si="80"/>
        <v>22703180.194810595</v>
      </c>
      <c r="Q120" s="24">
        <f t="shared" si="80"/>
        <v>21238793.899683472</v>
      </c>
      <c r="R120" s="24">
        <f t="shared" si="80"/>
        <v>19776586.328686256</v>
      </c>
      <c r="S120" s="23"/>
    </row>
    <row r="121" spans="1:19" x14ac:dyDescent="0.2">
      <c r="A121" s="23" t="s">
        <v>74</v>
      </c>
      <c r="B121" s="23"/>
      <c r="C121" s="23"/>
      <c r="D121" s="23"/>
      <c r="E121" s="23"/>
      <c r="F121" s="23"/>
      <c r="G121" s="23"/>
      <c r="H121" s="24">
        <f>H100</f>
        <v>78.280771161677052</v>
      </c>
      <c r="I121" s="24">
        <f>I37*($H$121*(1+0.05*(I2-2022)))</f>
        <v>24462740.988024082</v>
      </c>
      <c r="J121" s="24">
        <f t="shared" ref="J121:R121" si="81">J37*($H$121*(1+0.05*(J2-2022)))</f>
        <v>25441250.62754504</v>
      </c>
      <c r="K121" s="24">
        <f t="shared" si="81"/>
        <v>26419760.267066006</v>
      </c>
      <c r="L121" s="24">
        <f t="shared" si="81"/>
        <v>27398269.906586967</v>
      </c>
      <c r="M121" s="24">
        <f t="shared" si="81"/>
        <v>28376779.546107929</v>
      </c>
      <c r="N121" s="24">
        <f t="shared" si="81"/>
        <v>29355289.185628895</v>
      </c>
      <c r="O121" s="24">
        <f t="shared" si="81"/>
        <v>30333798.82514986</v>
      </c>
      <c r="P121" s="24">
        <f t="shared" si="81"/>
        <v>31312308.464670822</v>
      </c>
      <c r="Q121" s="24">
        <f t="shared" si="81"/>
        <v>32290818.104191784</v>
      </c>
      <c r="R121" s="24">
        <f t="shared" si="81"/>
        <v>33269327.743712749</v>
      </c>
      <c r="S121" s="23"/>
    </row>
    <row r="122" spans="1:19" x14ac:dyDescent="0.2">
      <c r="A122" s="23" t="s">
        <v>20</v>
      </c>
      <c r="B122" s="23"/>
      <c r="C122" s="23"/>
      <c r="D122" s="23"/>
      <c r="E122" s="23"/>
      <c r="F122" s="23"/>
      <c r="G122" s="23"/>
      <c r="H122" s="24">
        <f>H101</f>
        <v>117.41999999999999</v>
      </c>
      <c r="I122" s="24">
        <f t="shared" ref="I122:R122" si="82">I38*($H$122*(1+0.02*(I2-2022)))</f>
        <v>5986411.8659972344</v>
      </c>
      <c r="J122" s="24">
        <f t="shared" si="82"/>
        <v>0</v>
      </c>
      <c r="K122" s="24">
        <f t="shared" si="82"/>
        <v>0</v>
      </c>
      <c r="L122" s="24">
        <f t="shared" si="82"/>
        <v>0</v>
      </c>
      <c r="M122" s="24">
        <f t="shared" si="82"/>
        <v>0</v>
      </c>
      <c r="N122" s="24">
        <f t="shared" si="82"/>
        <v>0</v>
      </c>
      <c r="O122" s="24">
        <f t="shared" si="82"/>
        <v>0</v>
      </c>
      <c r="P122" s="24">
        <f t="shared" si="82"/>
        <v>0</v>
      </c>
      <c r="Q122" s="24">
        <f t="shared" si="82"/>
        <v>0</v>
      </c>
      <c r="R122" s="24">
        <f t="shared" si="82"/>
        <v>0</v>
      </c>
      <c r="S122" s="23" t="s">
        <v>36</v>
      </c>
    </row>
    <row r="123" spans="1:19" x14ac:dyDescent="0.2">
      <c r="A123" s="22" t="s">
        <v>21</v>
      </c>
      <c r="B123" s="22"/>
      <c r="C123" s="22"/>
      <c r="D123" s="22"/>
      <c r="E123" s="22"/>
      <c r="F123" s="22"/>
      <c r="G123" s="22"/>
      <c r="H123" s="22"/>
      <c r="I123" s="26">
        <f>SUM(I120:I122)</f>
        <v>60892712.867007978</v>
      </c>
      <c r="J123" s="26">
        <f t="shared" ref="J123:R123" si="83">SUM(J120:J122)</f>
        <v>56883215.972272843</v>
      </c>
      <c r="K123" s="26">
        <f t="shared" si="83"/>
        <v>56420242.236622073</v>
      </c>
      <c r="L123" s="26">
        <f t="shared" si="83"/>
        <v>55948593.443595871</v>
      </c>
      <c r="M123" s="26">
        <f t="shared" si="83"/>
        <v>55470372.468598053</v>
      </c>
      <c r="N123" s="26">
        <f t="shared" si="83"/>
        <v>54987559.596635729</v>
      </c>
      <c r="O123" s="26">
        <f t="shared" si="83"/>
        <v>54502016.223695435</v>
      </c>
      <c r="P123" s="26">
        <f t="shared" si="83"/>
        <v>54015488.659481421</v>
      </c>
      <c r="Q123" s="26">
        <f t="shared" si="83"/>
        <v>53529612.003875256</v>
      </c>
      <c r="R123" s="26">
        <f t="shared" si="83"/>
        <v>53045914.072399005</v>
      </c>
      <c r="S123" s="34" t="s">
        <v>22</v>
      </c>
    </row>
    <row r="124" spans="1:19" x14ac:dyDescent="0.2">
      <c r="A124" s="22" t="s">
        <v>25</v>
      </c>
      <c r="J124" s="23"/>
      <c r="K124" s="23"/>
      <c r="L124" s="23"/>
      <c r="M124" s="23"/>
      <c r="N124" s="23"/>
      <c r="O124" s="23"/>
      <c r="P124" s="23"/>
      <c r="Q124" s="23"/>
      <c r="S124" s="26">
        <f>SUM(I123:R123)</f>
        <v>555695727.54418361</v>
      </c>
    </row>
    <row r="125" spans="1:19" x14ac:dyDescent="0.2">
      <c r="A125" s="23" t="s">
        <v>81</v>
      </c>
      <c r="B125" s="23"/>
      <c r="C125" s="23"/>
      <c r="D125" s="23"/>
      <c r="E125" s="23"/>
      <c r="F125" s="24">
        <f>F53</f>
        <v>420000000</v>
      </c>
      <c r="G125" s="24"/>
      <c r="H125" s="23"/>
      <c r="I125" s="27">
        <f>F125/20</f>
        <v>21000000</v>
      </c>
      <c r="J125" s="27">
        <f>I125</f>
        <v>21000000</v>
      </c>
      <c r="K125" s="27">
        <f t="shared" ref="K125:R125" si="84">J125</f>
        <v>21000000</v>
      </c>
      <c r="L125" s="27">
        <f t="shared" si="84"/>
        <v>21000000</v>
      </c>
      <c r="M125" s="27">
        <f t="shared" si="84"/>
        <v>21000000</v>
      </c>
      <c r="N125" s="27">
        <f t="shared" si="84"/>
        <v>21000000</v>
      </c>
      <c r="O125" s="27">
        <f t="shared" si="84"/>
        <v>21000000</v>
      </c>
      <c r="P125" s="27">
        <f t="shared" si="84"/>
        <v>21000000</v>
      </c>
      <c r="Q125" s="27">
        <f t="shared" si="84"/>
        <v>21000000</v>
      </c>
      <c r="R125" s="27">
        <f t="shared" si="84"/>
        <v>21000000</v>
      </c>
      <c r="S125" s="23"/>
    </row>
    <row r="126" spans="1:19" x14ac:dyDescent="0.2">
      <c r="A126" s="22" t="s">
        <v>24</v>
      </c>
      <c r="B126" s="23"/>
      <c r="C126" s="23"/>
      <c r="D126" s="23"/>
      <c r="E126" s="23"/>
      <c r="F126" s="23"/>
      <c r="G126" s="23"/>
      <c r="H126" s="23"/>
      <c r="I126" s="28">
        <f>SUM(I125+I123)</f>
        <v>81892712.867007971</v>
      </c>
      <c r="J126" s="28">
        <f t="shared" ref="J126:R126" si="85">SUM(J125+J123)</f>
        <v>77883215.972272843</v>
      </c>
      <c r="K126" s="28">
        <f t="shared" si="85"/>
        <v>77420242.236622065</v>
      </c>
      <c r="L126" s="28">
        <f t="shared" si="85"/>
        <v>76948593.443595871</v>
      </c>
      <c r="M126" s="28">
        <f t="shared" si="85"/>
        <v>76470372.468598053</v>
      </c>
      <c r="N126" s="28">
        <f t="shared" si="85"/>
        <v>75987559.596635729</v>
      </c>
      <c r="O126" s="28">
        <f t="shared" si="85"/>
        <v>75502016.223695427</v>
      </c>
      <c r="P126" s="28">
        <f t="shared" si="85"/>
        <v>75015488.659481421</v>
      </c>
      <c r="Q126" s="28">
        <f t="shared" si="85"/>
        <v>74529612.003875256</v>
      </c>
      <c r="R126" s="28">
        <f t="shared" si="85"/>
        <v>74045914.072399005</v>
      </c>
    </row>
    <row r="127" spans="1:19" x14ac:dyDescent="0.2">
      <c r="A127" s="15" t="s">
        <v>26</v>
      </c>
      <c r="S127" s="26">
        <f>SUM(I126:R126)</f>
        <v>765695727.54418361</v>
      </c>
    </row>
    <row r="128" spans="1:19" ht="17" customHeight="1" x14ac:dyDescent="0.2"/>
    <row r="129" spans="1:12" ht="17" customHeight="1" x14ac:dyDescent="0.2">
      <c r="A129" s="32"/>
    </row>
    <row r="134" spans="1:12" s="42" customFormat="1" x14ac:dyDescent="0.2">
      <c r="A134" s="42" t="s">
        <v>38</v>
      </c>
      <c r="D134" s="42" t="s">
        <v>48</v>
      </c>
      <c r="H134" s="43">
        <v>-0.05</v>
      </c>
      <c r="I134" s="42" t="s">
        <v>134</v>
      </c>
    </row>
    <row r="135" spans="1:12" ht="34" x14ac:dyDescent="0.2">
      <c r="A135" s="15" t="s">
        <v>39</v>
      </c>
      <c r="F135" s="44" t="s">
        <v>100</v>
      </c>
      <c r="G135" s="44" t="s">
        <v>135</v>
      </c>
      <c r="H135" s="45" t="s">
        <v>84</v>
      </c>
      <c r="I135" s="15" t="s">
        <v>44</v>
      </c>
      <c r="J135" s="15" t="s">
        <v>45</v>
      </c>
    </row>
    <row r="136" spans="1:12" x14ac:dyDescent="0.2">
      <c r="A136" t="s">
        <v>12</v>
      </c>
      <c r="F136" s="25">
        <f>S55</f>
        <v>1022224978.0338957</v>
      </c>
      <c r="G136" s="25">
        <f>F136</f>
        <v>1022224978.0338957</v>
      </c>
      <c r="J136" s="13">
        <f>S13-S32</f>
        <v>1340603.776471436</v>
      </c>
      <c r="L136" s="29"/>
    </row>
    <row r="137" spans="1:12" x14ac:dyDescent="0.2">
      <c r="A137" t="s">
        <v>82</v>
      </c>
      <c r="F137" s="25">
        <f>S75</f>
        <v>1160969283.5145862</v>
      </c>
      <c r="G137" s="25">
        <f>F137</f>
        <v>1160969283.5145862</v>
      </c>
      <c r="I137" s="61">
        <f>F136-F137</f>
        <v>-138744305.48069048</v>
      </c>
      <c r="K137" t="s">
        <v>125</v>
      </c>
    </row>
    <row r="138" spans="1:12" x14ac:dyDescent="0.2">
      <c r="A138" t="s">
        <v>83</v>
      </c>
      <c r="F138" s="25">
        <f>S96</f>
        <v>647205385.65786111</v>
      </c>
      <c r="G138" s="63">
        <f>F138+H138</f>
        <v>747205385.65786111</v>
      </c>
      <c r="H138" s="47">
        <v>100000000</v>
      </c>
      <c r="I138" s="62">
        <f>F136-F138-H138</f>
        <v>275019592.37603462</v>
      </c>
    </row>
    <row r="139" spans="1:12" x14ac:dyDescent="0.2">
      <c r="A139" t="s">
        <v>103</v>
      </c>
      <c r="F139" s="25">
        <f>S117</f>
        <v>925798994.84129953</v>
      </c>
      <c r="G139" s="25">
        <f>F139+H139</f>
        <v>1025798994.8412995</v>
      </c>
      <c r="H139" s="40">
        <f>H138</f>
        <v>100000000</v>
      </c>
      <c r="I139" s="61">
        <f>F136-F139-H139</f>
        <v>-3574016.8074038029</v>
      </c>
      <c r="K139" t="s">
        <v>126</v>
      </c>
    </row>
    <row r="141" spans="1:12" x14ac:dyDescent="0.2">
      <c r="A141" s="15" t="s">
        <v>40</v>
      </c>
      <c r="J141" s="13">
        <f>J136</f>
        <v>1340603.776471436</v>
      </c>
      <c r="L141" s="29"/>
    </row>
    <row r="142" spans="1:12" x14ac:dyDescent="0.2">
      <c r="A142" t="s">
        <v>12</v>
      </c>
      <c r="F142" s="25">
        <f>S64</f>
        <v>834077636.68256271</v>
      </c>
      <c r="G142" s="25">
        <f>F142</f>
        <v>834077636.68256271</v>
      </c>
    </row>
    <row r="143" spans="1:12" x14ac:dyDescent="0.2">
      <c r="A143" t="s">
        <v>82</v>
      </c>
      <c r="F143" s="25">
        <f>S85</f>
        <v>853612970.50686359</v>
      </c>
      <c r="G143" s="25">
        <f>F143</f>
        <v>853612970.50686359</v>
      </c>
      <c r="I143" s="61">
        <f>F142-F143</f>
        <v>-19535333.824300885</v>
      </c>
      <c r="K143" t="s">
        <v>125</v>
      </c>
    </row>
    <row r="144" spans="1:12" ht="17" customHeight="1" x14ac:dyDescent="0.2">
      <c r="A144" t="s">
        <v>83</v>
      </c>
      <c r="F144" s="25">
        <f>S106</f>
        <v>489148791.84418553</v>
      </c>
      <c r="G144" s="63">
        <f>F144+H144</f>
        <v>589148791.84418559</v>
      </c>
      <c r="H144" s="40">
        <f>H138</f>
        <v>100000000</v>
      </c>
      <c r="I144" s="62">
        <f>F142-F144-H144</f>
        <v>244928844.83837718</v>
      </c>
    </row>
    <row r="145" spans="1:19" ht="17" customHeight="1" x14ac:dyDescent="0.2">
      <c r="A145" t="s">
        <v>103</v>
      </c>
      <c r="F145" s="25">
        <f>S127</f>
        <v>765695727.54418361</v>
      </c>
      <c r="G145" s="25">
        <f>F145+H145</f>
        <v>865695727.54418361</v>
      </c>
      <c r="H145" s="40">
        <f>H138</f>
        <v>100000000</v>
      </c>
      <c r="I145" s="61">
        <f>F142-F145-H145</f>
        <v>-31618090.861620903</v>
      </c>
    </row>
    <row r="147" spans="1:19" x14ac:dyDescent="0.2">
      <c r="A147" s="1"/>
    </row>
    <row r="148" spans="1:19" x14ac:dyDescent="0.2">
      <c r="A148" s="23"/>
      <c r="B148" s="23"/>
      <c r="C148" s="23"/>
      <c r="D148" s="23"/>
      <c r="E148" s="23"/>
      <c r="F148" s="23"/>
      <c r="G148" s="23"/>
      <c r="H148" s="23"/>
      <c r="I148" s="24"/>
      <c r="J148" s="23"/>
      <c r="K148" s="23"/>
      <c r="L148" s="23"/>
      <c r="M148" s="23"/>
      <c r="N148" s="23"/>
      <c r="O148" s="23"/>
      <c r="P148" s="23"/>
      <c r="Q148" s="23"/>
      <c r="R148" s="23"/>
      <c r="S148" s="23"/>
    </row>
    <row r="168" spans="1:1" x14ac:dyDescent="0.2">
      <c r="A168" s="1"/>
    </row>
  </sheetData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63032-9C89-A940-8C6E-6FE52E707136}">
  <dimension ref="A1:U168"/>
  <sheetViews>
    <sheetView topLeftCell="A105" workbookViewId="0">
      <selection activeCell="G135" sqref="G135:G145"/>
    </sheetView>
  </sheetViews>
  <sheetFormatPr baseColWidth="10" defaultRowHeight="16" x14ac:dyDescent="0.2"/>
  <cols>
    <col min="1" max="1" width="40.33203125" customWidth="1"/>
    <col min="2" max="2" width="13" customWidth="1"/>
    <col min="6" max="6" width="16" bestFit="1" customWidth="1"/>
    <col min="7" max="7" width="16" customWidth="1"/>
    <col min="8" max="8" width="15.83203125" customWidth="1"/>
    <col min="9" max="18" width="14.6640625" customWidth="1"/>
    <col min="19" max="19" width="18" customWidth="1"/>
  </cols>
  <sheetData>
    <row r="1" spans="1:21" ht="34" x14ac:dyDescent="0.2">
      <c r="A1" s="1" t="s">
        <v>0</v>
      </c>
      <c r="B1" s="2" t="s">
        <v>1</v>
      </c>
      <c r="C1" s="2"/>
      <c r="D1" s="2"/>
      <c r="E1" s="2"/>
      <c r="F1" s="36" t="s">
        <v>112</v>
      </c>
      <c r="G1" s="53" t="s">
        <v>114</v>
      </c>
      <c r="H1" s="2" t="s">
        <v>2</v>
      </c>
      <c r="I1" s="3" t="s">
        <v>3</v>
      </c>
      <c r="J1" s="3"/>
      <c r="K1" s="3"/>
      <c r="L1" s="3"/>
      <c r="M1" s="3"/>
      <c r="N1" s="3"/>
      <c r="O1" s="3"/>
      <c r="P1" s="3"/>
      <c r="Q1" s="3"/>
      <c r="R1" s="3"/>
    </row>
    <row r="2" spans="1:21" s="15" customFormat="1" x14ac:dyDescent="0.2">
      <c r="A2" s="15" t="s">
        <v>4</v>
      </c>
      <c r="B2" s="15">
        <v>2010</v>
      </c>
      <c r="C2" s="15">
        <v>2020</v>
      </c>
      <c r="D2" s="15">
        <v>2022</v>
      </c>
      <c r="E2" s="15">
        <v>2024</v>
      </c>
      <c r="I2" s="15">
        <v>2027</v>
      </c>
      <c r="J2" s="15">
        <f>I2+1</f>
        <v>2028</v>
      </c>
      <c r="K2" s="15">
        <f t="shared" ref="K2:Q2" si="0">J2+1</f>
        <v>2029</v>
      </c>
      <c r="L2" s="15">
        <f t="shared" si="0"/>
        <v>2030</v>
      </c>
      <c r="M2" s="15">
        <f t="shared" si="0"/>
        <v>2031</v>
      </c>
      <c r="N2" s="15">
        <f t="shared" si="0"/>
        <v>2032</v>
      </c>
      <c r="O2" s="15">
        <f t="shared" si="0"/>
        <v>2033</v>
      </c>
      <c r="P2" s="15">
        <f t="shared" si="0"/>
        <v>2034</v>
      </c>
      <c r="Q2" s="15">
        <f t="shared" si="0"/>
        <v>2035</v>
      </c>
      <c r="R2" s="15">
        <f>Q2+1</f>
        <v>2036</v>
      </c>
      <c r="S2" s="15" t="s">
        <v>110</v>
      </c>
    </row>
    <row r="3" spans="1:21" x14ac:dyDescent="0.2">
      <c r="A3" t="s">
        <v>5</v>
      </c>
      <c r="B3" s="4">
        <v>2351496</v>
      </c>
      <c r="C3" s="4">
        <v>2766953</v>
      </c>
      <c r="D3" s="4">
        <v>2854375</v>
      </c>
      <c r="E3" s="4">
        <v>3124079</v>
      </c>
      <c r="F3" s="9"/>
      <c r="G3" s="9"/>
      <c r="H3" s="5"/>
      <c r="I3" s="4">
        <f>3124079+3*42500</f>
        <v>3251579</v>
      </c>
      <c r="J3" s="4">
        <f>I3+42500</f>
        <v>3294079</v>
      </c>
      <c r="K3" s="4">
        <f t="shared" ref="K3:R3" si="1">J3+42500</f>
        <v>3336579</v>
      </c>
      <c r="L3" s="4">
        <f t="shared" si="1"/>
        <v>3379079</v>
      </c>
      <c r="M3" s="4">
        <f t="shared" si="1"/>
        <v>3421579</v>
      </c>
      <c r="N3" s="4">
        <f t="shared" si="1"/>
        <v>3464079</v>
      </c>
      <c r="O3" s="4">
        <f t="shared" si="1"/>
        <v>3506579</v>
      </c>
      <c r="P3" s="4">
        <f t="shared" si="1"/>
        <v>3549079</v>
      </c>
      <c r="Q3" s="4">
        <f t="shared" si="1"/>
        <v>3591579</v>
      </c>
      <c r="R3" s="4">
        <f t="shared" si="1"/>
        <v>3634079</v>
      </c>
      <c r="S3" t="s">
        <v>6</v>
      </c>
    </row>
    <row r="4" spans="1:21" ht="19" customHeight="1" x14ac:dyDescent="0.2">
      <c r="A4" t="s">
        <v>7</v>
      </c>
      <c r="B4" s="6">
        <f>B13/B3</f>
        <v>0.60131933033269036</v>
      </c>
      <c r="C4" s="6">
        <f>C13/C3</f>
        <v>0.45757553525484529</v>
      </c>
      <c r="D4" s="6">
        <f>D13/D3</f>
        <v>0.44091964090212393</v>
      </c>
      <c r="E4" s="6">
        <f>E13/E3</f>
        <v>0.40831361818955281</v>
      </c>
      <c r="F4" s="52">
        <f>E4/B4-1</f>
        <v>-0.32097041024168271</v>
      </c>
      <c r="G4" s="52"/>
      <c r="H4" s="8">
        <f>F4/14</f>
        <v>-2.292645787440591E-2</v>
      </c>
      <c r="I4" s="9">
        <f>E4*(1+3*H4)</f>
        <v>0.38023006328864567</v>
      </c>
      <c r="J4" s="9">
        <f>I4*(1+$H$4)</f>
        <v>0.37151273476007585</v>
      </c>
      <c r="K4" s="9">
        <f t="shared" ref="K4:R4" si="2">J4*(1+$H$4)</f>
        <v>0.36299526369679364</v>
      </c>
      <c r="L4" s="9">
        <f t="shared" si="2"/>
        <v>0.35467306807504023</v>
      </c>
      <c r="M4" s="9">
        <f t="shared" si="2"/>
        <v>0.34654167092063148</v>
      </c>
      <c r="N4" s="9">
        <f t="shared" si="2"/>
        <v>0.33859669790054336</v>
      </c>
      <c r="O4" s="9">
        <f t="shared" si="2"/>
        <v>0.33083387496971361</v>
      </c>
      <c r="P4" s="9">
        <f t="shared" si="2"/>
        <v>0.32324902607179401</v>
      </c>
      <c r="Q4" s="9">
        <f t="shared" si="2"/>
        <v>0.31583807089261628</v>
      </c>
      <c r="R4" s="9">
        <f t="shared" si="2"/>
        <v>0.30859702266516309</v>
      </c>
      <c r="T4" s="9"/>
    </row>
    <row r="5" spans="1:21" s="21" customFormat="1" ht="17" customHeight="1" x14ac:dyDescent="0.2">
      <c r="A5" s="16" t="s">
        <v>12</v>
      </c>
      <c r="B5" s="17"/>
      <c r="C5" s="17"/>
      <c r="D5" s="17"/>
      <c r="E5" s="17"/>
      <c r="F5" s="18"/>
      <c r="H5" s="19"/>
      <c r="I5" s="20"/>
      <c r="J5" s="20"/>
      <c r="K5" s="20"/>
      <c r="L5" s="20"/>
      <c r="M5" s="20"/>
      <c r="N5" s="20"/>
      <c r="O5" s="20"/>
      <c r="P5" s="20"/>
      <c r="Q5" s="20"/>
      <c r="R5" s="20"/>
    </row>
    <row r="6" spans="1:21" x14ac:dyDescent="0.2">
      <c r="A6" s="10" t="s">
        <v>8</v>
      </c>
      <c r="B6" s="4">
        <v>567817</v>
      </c>
      <c r="C6" s="4">
        <f>615596+44138</f>
        <v>659734</v>
      </c>
      <c r="D6" s="4">
        <v>691083</v>
      </c>
      <c r="E6" s="4">
        <v>509495</v>
      </c>
      <c r="F6" s="7">
        <f>D6/B6-1</f>
        <v>0.21708754757254534</v>
      </c>
      <c r="G6" s="7">
        <f>E6/(E6+E9)</f>
        <v>0.7372414022628252</v>
      </c>
      <c r="H6" s="8">
        <f>F6/12</f>
        <v>1.8090628964378779E-2</v>
      </c>
      <c r="I6" s="11">
        <f>750000-I9</f>
        <v>580901.50889749289</v>
      </c>
      <c r="J6" s="11">
        <f t="shared" ref="J6:L6" si="3">750000-J9</f>
        <v>584778.33833038015</v>
      </c>
      <c r="K6" s="11">
        <f t="shared" si="3"/>
        <v>588566.28579658805</v>
      </c>
      <c r="L6" s="11">
        <f t="shared" si="3"/>
        <v>592267.38904478145</v>
      </c>
      <c r="M6" s="11">
        <f>M13-M10-M9-M7</f>
        <v>591603.34295220964</v>
      </c>
      <c r="N6" s="11">
        <f t="shared" ref="N6:R6" si="4">N13-N10-N9-N7</f>
        <v>582342.69202769268</v>
      </c>
      <c r="O6" s="11">
        <f t="shared" si="4"/>
        <v>572964.43505192571</v>
      </c>
      <c r="P6" s="11">
        <f t="shared" si="4"/>
        <v>563478.83221148769</v>
      </c>
      <c r="Q6" s="11">
        <f t="shared" si="4"/>
        <v>553895.73504986905</v>
      </c>
      <c r="R6" s="11">
        <f t="shared" si="4"/>
        <v>544224.59981196595</v>
      </c>
    </row>
    <row r="7" spans="1:21" x14ac:dyDescent="0.2">
      <c r="A7" s="10" t="s">
        <v>89</v>
      </c>
      <c r="B7" s="4">
        <v>284468</v>
      </c>
      <c r="C7" s="4">
        <v>244362</v>
      </c>
      <c r="D7" s="4">
        <v>233051</v>
      </c>
      <c r="E7" s="4">
        <v>243169</v>
      </c>
      <c r="F7" s="7">
        <f>E7/B7-1</f>
        <v>-0.14517977417495109</v>
      </c>
      <c r="G7" s="7"/>
      <c r="H7" s="8">
        <f t="shared" ref="H7:H13" si="5">F7/12</f>
        <v>-1.2098314514579258E-2</v>
      </c>
      <c r="I7" s="54">
        <v>250000</v>
      </c>
      <c r="J7" s="54">
        <f>$I$7</f>
        <v>250000</v>
      </c>
      <c r="K7" s="54">
        <f t="shared" ref="K7:R7" si="6">$I$7</f>
        <v>250000</v>
      </c>
      <c r="L7" s="54">
        <f t="shared" si="6"/>
        <v>250000</v>
      </c>
      <c r="M7" s="54">
        <f t="shared" si="6"/>
        <v>250000</v>
      </c>
      <c r="N7" s="54">
        <f t="shared" si="6"/>
        <v>250000</v>
      </c>
      <c r="O7" s="54">
        <f t="shared" si="6"/>
        <v>250000</v>
      </c>
      <c r="P7" s="54">
        <f t="shared" si="6"/>
        <v>250000</v>
      </c>
      <c r="Q7" s="54">
        <f t="shared" si="6"/>
        <v>250000</v>
      </c>
      <c r="R7" s="54">
        <f t="shared" si="6"/>
        <v>250000</v>
      </c>
      <c r="S7" t="s">
        <v>31</v>
      </c>
      <c r="T7" t="s">
        <v>117</v>
      </c>
    </row>
    <row r="8" spans="1:21" x14ac:dyDescent="0.2">
      <c r="A8" s="10" t="s">
        <v>9</v>
      </c>
      <c r="B8" s="4">
        <f>396384</f>
        <v>396384</v>
      </c>
      <c r="C8" s="4">
        <f>35340</f>
        <v>35340</v>
      </c>
      <c r="D8" s="4">
        <f>144603</f>
        <v>144603</v>
      </c>
      <c r="E8" s="4">
        <v>151539</v>
      </c>
      <c r="F8" s="7">
        <f t="shared" ref="F8" si="7">D8/B8-1</f>
        <v>-0.6351946597239041</v>
      </c>
      <c r="G8" s="7"/>
      <c r="H8" s="8">
        <f t="shared" si="5"/>
        <v>-5.2932888310325339E-2</v>
      </c>
      <c r="I8" s="13">
        <f>I13-I10-I7-750000</f>
        <v>46348.088958031265</v>
      </c>
      <c r="J8" s="13">
        <f>J13-J10-J7-750000</f>
        <v>33792.297805735841</v>
      </c>
      <c r="K8" s="13">
        <f t="shared" ref="K8" si="8">K13-K10-K7-750000</f>
        <v>21162.37395018409</v>
      </c>
      <c r="L8" s="13">
        <f>L13-L10-L7-750000</f>
        <v>8468.3161979389843</v>
      </c>
      <c r="M8" s="13"/>
      <c r="N8" s="13"/>
      <c r="O8" s="13"/>
      <c r="P8" s="13"/>
      <c r="Q8" s="13"/>
      <c r="R8" s="13"/>
    </row>
    <row r="9" spans="1:21" x14ac:dyDescent="0.2">
      <c r="A9" s="14" t="s">
        <v>111</v>
      </c>
      <c r="B9" s="49" t="s">
        <v>113</v>
      </c>
      <c r="C9" s="49" t="s">
        <v>113</v>
      </c>
      <c r="D9" s="49" t="s">
        <v>113</v>
      </c>
      <c r="E9" s="49">
        <f>D6-E6</f>
        <v>181588</v>
      </c>
      <c r="F9" s="7">
        <f>F6</f>
        <v>0.21708754757254534</v>
      </c>
      <c r="G9" s="7">
        <f>E9/(E9+E6)</f>
        <v>0.26275859773717486</v>
      </c>
      <c r="H9" s="51"/>
      <c r="I9" s="57">
        <f>E9*(1+3*H4)</f>
        <v>169098.49110250713</v>
      </c>
      <c r="J9" s="57">
        <f>I9*(1+$H$4)</f>
        <v>165221.66166961991</v>
      </c>
      <c r="K9" s="57">
        <f t="shared" ref="K9:R9" si="9">J9*(1+$H$4)</f>
        <v>161433.714203412</v>
      </c>
      <c r="L9" s="57">
        <f t="shared" si="9"/>
        <v>157732.61095521858</v>
      </c>
      <c r="M9" s="57">
        <f t="shared" si="9"/>
        <v>154116.36089473369</v>
      </c>
      <c r="N9" s="57">
        <f t="shared" si="9"/>
        <v>150583.01863892382</v>
      </c>
      <c r="O9" s="57">
        <f t="shared" si="9"/>
        <v>147130.68340549764</v>
      </c>
      <c r="P9" s="57">
        <f t="shared" si="9"/>
        <v>143757.49799036892</v>
      </c>
      <c r="Q9" s="57">
        <f t="shared" si="9"/>
        <v>140461.64776856275</v>
      </c>
      <c r="R9" s="57">
        <f t="shared" si="9"/>
        <v>137241.35971802715</v>
      </c>
      <c r="T9" s="55" t="s">
        <v>118</v>
      </c>
      <c r="U9" t="s">
        <v>119</v>
      </c>
    </row>
    <row r="10" spans="1:21" ht="17" customHeight="1" x14ac:dyDescent="0.2">
      <c r="A10" s="14" t="s">
        <v>10</v>
      </c>
      <c r="B10" s="4">
        <v>165331</v>
      </c>
      <c r="C10" s="4">
        <v>326654</v>
      </c>
      <c r="D10" s="4">
        <v>189813</v>
      </c>
      <c r="E10" s="4">
        <f>D10</f>
        <v>189813</v>
      </c>
      <c r="F10" s="7">
        <f>D10/B10-1</f>
        <v>0.14807870272362722</v>
      </c>
      <c r="G10" s="7"/>
      <c r="H10" s="8">
        <f>F10/12</f>
        <v>1.2339891893635602E-2</v>
      </c>
      <c r="I10" s="54">
        <v>190000</v>
      </c>
      <c r="J10" s="54">
        <f>I10</f>
        <v>190000</v>
      </c>
      <c r="K10" s="54">
        <f t="shared" ref="K10:R10" si="10">J10</f>
        <v>190000</v>
      </c>
      <c r="L10" s="54">
        <f t="shared" si="10"/>
        <v>190000</v>
      </c>
      <c r="M10" s="54">
        <f t="shared" si="10"/>
        <v>190000</v>
      </c>
      <c r="N10" s="54">
        <f t="shared" si="10"/>
        <v>190000</v>
      </c>
      <c r="O10" s="54">
        <f t="shared" si="10"/>
        <v>190000</v>
      </c>
      <c r="P10" s="54">
        <f t="shared" si="10"/>
        <v>190000</v>
      </c>
      <c r="Q10" s="54">
        <f t="shared" si="10"/>
        <v>190000</v>
      </c>
      <c r="R10" s="54">
        <f t="shared" si="10"/>
        <v>190000</v>
      </c>
      <c r="T10" t="s">
        <v>117</v>
      </c>
    </row>
    <row r="11" spans="1:21" ht="17" customHeight="1" x14ac:dyDescent="0.2">
      <c r="A11" t="s">
        <v>115</v>
      </c>
      <c r="B11" s="49"/>
      <c r="C11" s="49"/>
      <c r="D11" s="49"/>
      <c r="E11" s="49"/>
      <c r="F11" s="50"/>
      <c r="G11" s="50"/>
      <c r="H11" s="51"/>
      <c r="I11" s="11">
        <f>SUM(I6:I10)</f>
        <v>1236348.0889580313</v>
      </c>
      <c r="J11" s="11">
        <f t="shared" ref="J11:R11" si="11">SUM(J6:J10)</f>
        <v>1223792.2978057358</v>
      </c>
      <c r="K11" s="11">
        <f t="shared" si="11"/>
        <v>1211162.3739501841</v>
      </c>
      <c r="L11" s="11">
        <f t="shared" si="11"/>
        <v>1198468.316197939</v>
      </c>
      <c r="M11" s="11">
        <f>SUM(M6:M10)</f>
        <v>1185719.7038469433</v>
      </c>
      <c r="N11" s="11">
        <f t="shared" si="11"/>
        <v>1172925.7106666164</v>
      </c>
      <c r="O11" s="11">
        <f t="shared" si="11"/>
        <v>1160095.1184574233</v>
      </c>
      <c r="P11" s="11">
        <f t="shared" si="11"/>
        <v>1147236.3302018566</v>
      </c>
      <c r="Q11" s="11">
        <f t="shared" si="11"/>
        <v>1134357.3828184318</v>
      </c>
      <c r="R11" s="11">
        <f t="shared" si="11"/>
        <v>1121465.9595299931</v>
      </c>
    </row>
    <row r="12" spans="1:21" ht="17" customHeight="1" x14ac:dyDescent="0.2">
      <c r="A12" t="s">
        <v>116</v>
      </c>
      <c r="B12" s="49"/>
      <c r="C12" s="49"/>
      <c r="D12" s="49"/>
      <c r="E12" s="49">
        <f>E9+E6</f>
        <v>691083</v>
      </c>
      <c r="F12" s="50"/>
      <c r="G12" s="50"/>
      <c r="H12" s="51"/>
      <c r="I12" s="54">
        <f>I9+I6</f>
        <v>750000</v>
      </c>
      <c r="J12" s="54">
        <f>I12</f>
        <v>750000</v>
      </c>
      <c r="K12" s="54">
        <f>J12</f>
        <v>750000</v>
      </c>
      <c r="L12" s="54">
        <f t="shared" ref="L12:R12" si="12">L9+L6</f>
        <v>750000</v>
      </c>
      <c r="M12" s="54">
        <f t="shared" si="12"/>
        <v>745719.70384694333</v>
      </c>
      <c r="N12" s="54">
        <f t="shared" si="12"/>
        <v>732925.71066661645</v>
      </c>
      <c r="O12" s="54">
        <f t="shared" si="12"/>
        <v>720095.11845742329</v>
      </c>
      <c r="P12" s="54">
        <f t="shared" si="12"/>
        <v>707236.33020185656</v>
      </c>
      <c r="Q12" s="54">
        <f t="shared" si="12"/>
        <v>694357.38281843183</v>
      </c>
      <c r="R12" s="54">
        <f t="shared" si="12"/>
        <v>681465.95952999312</v>
      </c>
      <c r="S12" t="s">
        <v>31</v>
      </c>
      <c r="T12" t="s">
        <v>117</v>
      </c>
    </row>
    <row r="13" spans="1:21" x14ac:dyDescent="0.2">
      <c r="A13" t="s">
        <v>11</v>
      </c>
      <c r="B13" s="4">
        <f>SUM(B6:B10)</f>
        <v>1414000</v>
      </c>
      <c r="C13" s="4">
        <f>SUM(C6:C10)</f>
        <v>1266090</v>
      </c>
      <c r="D13" s="4">
        <f>SUM(D6:D10)</f>
        <v>1258550</v>
      </c>
      <c r="E13" s="4">
        <f>SUM(E6:E10)</f>
        <v>1275604</v>
      </c>
      <c r="F13" s="7">
        <f>E13/B13-1</f>
        <v>-9.7875530410183931E-2</v>
      </c>
      <c r="G13" s="7"/>
      <c r="H13" s="8">
        <f t="shared" si="5"/>
        <v>-8.1562942008486603E-3</v>
      </c>
      <c r="I13" s="4">
        <f t="shared" ref="I13:R13" si="13">I3*I4</f>
        <v>1236348.0889580313</v>
      </c>
      <c r="J13" s="4">
        <f t="shared" si="13"/>
        <v>1223792.2978057358</v>
      </c>
      <c r="K13" s="4">
        <f t="shared" si="13"/>
        <v>1211162.3739501841</v>
      </c>
      <c r="L13" s="4">
        <f t="shared" si="13"/>
        <v>1198468.316197939</v>
      </c>
      <c r="M13" s="4">
        <f t="shared" si="13"/>
        <v>1185719.7038469433</v>
      </c>
      <c r="N13" s="4">
        <f t="shared" si="13"/>
        <v>1172925.7106666164</v>
      </c>
      <c r="O13" s="4">
        <f t="shared" si="13"/>
        <v>1160095.1184574233</v>
      </c>
      <c r="P13" s="4">
        <f t="shared" si="13"/>
        <v>1147236.3302018566</v>
      </c>
      <c r="Q13" s="4">
        <f t="shared" si="13"/>
        <v>1134357.3828184318</v>
      </c>
      <c r="R13" s="4">
        <f t="shared" si="13"/>
        <v>1121465.9595299931</v>
      </c>
      <c r="S13" s="13">
        <f>SUM(I13:R13)</f>
        <v>11791571.282433156</v>
      </c>
      <c r="T13" t="s">
        <v>120</v>
      </c>
    </row>
    <row r="14" spans="1:21" s="21" customFormat="1" ht="17" customHeight="1" x14ac:dyDescent="0.2">
      <c r="A14" s="16" t="s">
        <v>13</v>
      </c>
      <c r="B14" s="17"/>
      <c r="C14" s="17"/>
      <c r="D14" s="17"/>
      <c r="E14" s="17"/>
      <c r="F14" s="18"/>
      <c r="G14" s="18"/>
      <c r="H14" s="19"/>
      <c r="I14" s="20"/>
      <c r="J14" s="20"/>
      <c r="K14" s="20"/>
      <c r="L14" s="20"/>
      <c r="M14" s="20"/>
      <c r="N14" s="20"/>
      <c r="O14" s="20"/>
      <c r="P14" s="20"/>
      <c r="Q14" s="20"/>
      <c r="R14" s="20"/>
    </row>
    <row r="15" spans="1:21" x14ac:dyDescent="0.2">
      <c r="A15" s="10" t="s">
        <v>8</v>
      </c>
      <c r="B15" s="4"/>
      <c r="C15" s="4"/>
      <c r="D15" s="4"/>
      <c r="E15" s="4"/>
      <c r="F15" s="7"/>
      <c r="G15" s="7"/>
      <c r="H15" s="8"/>
      <c r="I15" s="11">
        <f>I6</f>
        <v>580901.50889749289</v>
      </c>
      <c r="J15" s="11">
        <f t="shared" ref="J15:R15" si="14">750000-J18</f>
        <v>584778.33833038015</v>
      </c>
      <c r="K15" s="11">
        <f t="shared" si="14"/>
        <v>588566.28579658805</v>
      </c>
      <c r="L15" s="11">
        <f t="shared" si="14"/>
        <v>592267.38904478145</v>
      </c>
      <c r="M15" s="11">
        <f t="shared" si="14"/>
        <v>595883.63910526631</v>
      </c>
      <c r="N15" s="11">
        <f t="shared" si="14"/>
        <v>599416.98136107624</v>
      </c>
      <c r="O15" s="11">
        <f t="shared" si="14"/>
        <v>602869.31659450242</v>
      </c>
      <c r="P15" s="11">
        <f t="shared" si="14"/>
        <v>606242.50200963113</v>
      </c>
      <c r="Q15" s="11">
        <f t="shared" si="14"/>
        <v>609538.35223143722</v>
      </c>
      <c r="R15" s="11">
        <f t="shared" si="14"/>
        <v>612758.64028197282</v>
      </c>
    </row>
    <row r="16" spans="1:21" x14ac:dyDescent="0.2">
      <c r="A16" s="10" t="s">
        <v>89</v>
      </c>
      <c r="B16" s="4"/>
      <c r="C16" s="4"/>
      <c r="D16" s="4"/>
      <c r="E16" s="4"/>
      <c r="F16" s="7"/>
      <c r="G16" s="7"/>
      <c r="H16" s="8"/>
      <c r="I16" s="54">
        <v>250000</v>
      </c>
      <c r="J16" s="12"/>
      <c r="K16" s="12"/>
      <c r="L16" s="12"/>
      <c r="M16" s="12"/>
      <c r="N16" s="12"/>
      <c r="O16" s="12"/>
      <c r="P16" s="12"/>
      <c r="Q16" s="12"/>
      <c r="R16" s="12"/>
    </row>
    <row r="17" spans="1:20" x14ac:dyDescent="0.2">
      <c r="A17" s="10" t="s">
        <v>9</v>
      </c>
      <c r="B17" s="4"/>
      <c r="C17" s="4"/>
      <c r="D17" s="4"/>
      <c r="E17" s="4"/>
      <c r="F17" s="7"/>
      <c r="G17" s="7"/>
      <c r="H17" s="8"/>
      <c r="I17" s="58">
        <f>I8</f>
        <v>46348.088958031265</v>
      </c>
      <c r="J17" s="58">
        <f>J22-J15-J19</f>
        <v>449013.95947535569</v>
      </c>
      <c r="K17" s="58">
        <f t="shared" ref="K17:R17" si="15">K22-K15-K19</f>
        <v>432596.08815359604</v>
      </c>
      <c r="L17" s="58">
        <f t="shared" si="15"/>
        <v>416200.92715315754</v>
      </c>
      <c r="M17" s="58">
        <f t="shared" si="15"/>
        <v>399836.06474167702</v>
      </c>
      <c r="N17" s="58">
        <f t="shared" si="15"/>
        <v>383508.72930554021</v>
      </c>
      <c r="O17" s="58">
        <f t="shared" si="15"/>
        <v>367225.80186292087</v>
      </c>
      <c r="P17" s="58">
        <f t="shared" si="15"/>
        <v>350993.82819222542</v>
      </c>
      <c r="Q17" s="58">
        <f t="shared" si="15"/>
        <v>334819.0305869946</v>
      </c>
      <c r="R17" s="58">
        <f t="shared" si="15"/>
        <v>318707.3192480203</v>
      </c>
    </row>
    <row r="18" spans="1:20" x14ac:dyDescent="0.2">
      <c r="A18" s="14" t="s">
        <v>111</v>
      </c>
      <c r="B18" s="49"/>
      <c r="C18" s="49"/>
      <c r="D18" s="49"/>
      <c r="E18" s="4"/>
      <c r="F18" s="50"/>
      <c r="G18" s="50"/>
      <c r="H18" s="51"/>
      <c r="I18" s="13">
        <f>I9</f>
        <v>169098.49110250713</v>
      </c>
      <c r="J18" s="13">
        <f t="shared" ref="J18:R18" si="16">J9</f>
        <v>165221.66166961991</v>
      </c>
      <c r="K18" s="13">
        <f t="shared" si="16"/>
        <v>161433.714203412</v>
      </c>
      <c r="L18" s="13">
        <f t="shared" si="16"/>
        <v>157732.61095521858</v>
      </c>
      <c r="M18" s="13">
        <f t="shared" si="16"/>
        <v>154116.36089473369</v>
      </c>
      <c r="N18" s="13">
        <f t="shared" si="16"/>
        <v>150583.01863892382</v>
      </c>
      <c r="O18" s="13">
        <f t="shared" si="16"/>
        <v>147130.68340549764</v>
      </c>
      <c r="P18" s="13">
        <f t="shared" si="16"/>
        <v>143757.49799036892</v>
      </c>
      <c r="Q18" s="13">
        <f t="shared" si="16"/>
        <v>140461.64776856275</v>
      </c>
      <c r="R18" s="13">
        <f t="shared" si="16"/>
        <v>137241.35971802715</v>
      </c>
      <c r="T18" s="55" t="s">
        <v>118</v>
      </c>
    </row>
    <row r="19" spans="1:20" ht="17" customHeight="1" x14ac:dyDescent="0.2">
      <c r="A19" s="14" t="s">
        <v>10</v>
      </c>
      <c r="B19" s="4"/>
      <c r="C19" s="4"/>
      <c r="D19" s="4"/>
      <c r="E19" s="4"/>
      <c r="F19" s="7"/>
      <c r="G19" s="7"/>
      <c r="H19" s="8"/>
      <c r="I19" s="54">
        <f>I10</f>
        <v>190000</v>
      </c>
      <c r="J19" s="54">
        <f>I19</f>
        <v>190000</v>
      </c>
      <c r="K19" s="54">
        <f t="shared" ref="K19:R19" si="17">J19</f>
        <v>190000</v>
      </c>
      <c r="L19" s="54">
        <f t="shared" si="17"/>
        <v>190000</v>
      </c>
      <c r="M19" s="54">
        <f t="shared" si="17"/>
        <v>190000</v>
      </c>
      <c r="N19" s="54">
        <f t="shared" si="17"/>
        <v>190000</v>
      </c>
      <c r="O19" s="54">
        <f t="shared" si="17"/>
        <v>190000</v>
      </c>
      <c r="P19" s="54">
        <f t="shared" si="17"/>
        <v>190000</v>
      </c>
      <c r="Q19" s="54">
        <f t="shared" si="17"/>
        <v>190000</v>
      </c>
      <c r="R19" s="54">
        <f t="shared" si="17"/>
        <v>190000</v>
      </c>
      <c r="T19" t="s">
        <v>117</v>
      </c>
    </row>
    <row r="20" spans="1:20" ht="17" customHeight="1" x14ac:dyDescent="0.2">
      <c r="A20" t="s">
        <v>115</v>
      </c>
      <c r="B20" s="49"/>
      <c r="C20" s="49"/>
      <c r="D20" s="49"/>
      <c r="E20" s="49"/>
      <c r="F20" s="50"/>
      <c r="G20" s="50"/>
      <c r="H20" s="51"/>
      <c r="I20" s="11">
        <f>SUM(I15:I19)</f>
        <v>1236348.0889580313</v>
      </c>
      <c r="J20" s="11">
        <f t="shared" ref="J20:R20" si="18">SUM(J15:J19)</f>
        <v>1389013.9594753557</v>
      </c>
      <c r="K20" s="11">
        <f t="shared" si="18"/>
        <v>1372596.088153596</v>
      </c>
      <c r="L20" s="11">
        <f t="shared" si="18"/>
        <v>1356200.9271531575</v>
      </c>
      <c r="M20" s="11">
        <f t="shared" si="18"/>
        <v>1339836.0647416771</v>
      </c>
      <c r="N20" s="11">
        <f t="shared" si="18"/>
        <v>1323508.7293055402</v>
      </c>
      <c r="O20" s="11">
        <f t="shared" si="18"/>
        <v>1307225.8018629209</v>
      </c>
      <c r="P20" s="11">
        <f t="shared" si="18"/>
        <v>1290993.8281922254</v>
      </c>
      <c r="Q20" s="11">
        <f t="shared" si="18"/>
        <v>1274819.0305869945</v>
      </c>
      <c r="R20" s="11">
        <f t="shared" si="18"/>
        <v>1258707.3192480202</v>
      </c>
    </row>
    <row r="21" spans="1:20" ht="17" customHeight="1" x14ac:dyDescent="0.2">
      <c r="A21" t="s">
        <v>116</v>
      </c>
      <c r="B21" s="49"/>
      <c r="C21" s="49"/>
      <c r="D21" s="49"/>
      <c r="E21" s="49">
        <f>E18+E15</f>
        <v>0</v>
      </c>
      <c r="F21" s="50"/>
      <c r="G21" s="50"/>
      <c r="H21" s="51"/>
      <c r="I21" s="54">
        <f>I18+I15</f>
        <v>750000</v>
      </c>
      <c r="J21" s="54">
        <f>I21</f>
        <v>750000</v>
      </c>
      <c r="K21" s="54">
        <f>J21</f>
        <v>750000</v>
      </c>
      <c r="L21" s="54">
        <f t="shared" ref="L21:R21" si="19">L18+L15</f>
        <v>750000</v>
      </c>
      <c r="M21" s="54">
        <f t="shared" si="19"/>
        <v>750000</v>
      </c>
      <c r="N21" s="54">
        <f t="shared" si="19"/>
        <v>750000</v>
      </c>
      <c r="O21" s="54">
        <f t="shared" si="19"/>
        <v>750000</v>
      </c>
      <c r="P21" s="54">
        <f t="shared" si="19"/>
        <v>750000</v>
      </c>
      <c r="Q21" s="54">
        <f t="shared" si="19"/>
        <v>750000</v>
      </c>
      <c r="R21" s="54">
        <f t="shared" si="19"/>
        <v>750000</v>
      </c>
      <c r="S21" t="s">
        <v>31</v>
      </c>
      <c r="T21" t="s">
        <v>117</v>
      </c>
    </row>
    <row r="22" spans="1:20" x14ac:dyDescent="0.2">
      <c r="A22" t="s">
        <v>11</v>
      </c>
      <c r="B22" s="4"/>
      <c r="C22" s="4"/>
      <c r="D22" s="4"/>
      <c r="E22" s="4"/>
      <c r="F22" s="7"/>
      <c r="G22" s="7"/>
      <c r="H22" s="8"/>
      <c r="I22" s="4">
        <f>I13</f>
        <v>1236348.0889580313</v>
      </c>
      <c r="J22" s="4">
        <f t="shared" ref="J22:R22" si="20">J4*J3</f>
        <v>1223792.2978057358</v>
      </c>
      <c r="K22" s="4">
        <f t="shared" si="20"/>
        <v>1211162.3739501841</v>
      </c>
      <c r="L22" s="4">
        <f t="shared" si="20"/>
        <v>1198468.316197939</v>
      </c>
      <c r="M22" s="56">
        <f t="shared" si="20"/>
        <v>1185719.7038469433</v>
      </c>
      <c r="N22" s="56">
        <f t="shared" si="20"/>
        <v>1172925.7106666164</v>
      </c>
      <c r="O22" s="56">
        <f t="shared" si="20"/>
        <v>1160095.1184574233</v>
      </c>
      <c r="P22" s="56">
        <f t="shared" si="20"/>
        <v>1147236.3302018566</v>
      </c>
      <c r="Q22" s="56">
        <f t="shared" si="20"/>
        <v>1134357.3828184318</v>
      </c>
      <c r="R22" s="56">
        <f t="shared" si="20"/>
        <v>1121465.9595299931</v>
      </c>
      <c r="S22" s="13">
        <f>SUM(I22:R22)</f>
        <v>11791571.282433156</v>
      </c>
      <c r="T22" t="s">
        <v>121</v>
      </c>
    </row>
    <row r="23" spans="1:20" s="21" customFormat="1" ht="17" customHeight="1" x14ac:dyDescent="0.2">
      <c r="A23" s="16" t="s">
        <v>15</v>
      </c>
      <c r="B23" s="17"/>
      <c r="C23" s="17"/>
      <c r="D23" s="17"/>
      <c r="E23" s="17"/>
      <c r="F23" s="18"/>
      <c r="G23" s="18"/>
      <c r="H23" s="19"/>
      <c r="I23" s="20"/>
      <c r="J23" s="20"/>
      <c r="K23" s="20"/>
      <c r="L23" s="20"/>
      <c r="M23" s="11"/>
      <c r="N23" s="11"/>
      <c r="O23" s="11"/>
      <c r="P23" s="11"/>
      <c r="Q23" s="11"/>
      <c r="R23" s="11"/>
    </row>
    <row r="24" spans="1:20" ht="18" customHeight="1" x14ac:dyDescent="0.2">
      <c r="A24" t="s">
        <v>7</v>
      </c>
      <c r="B24" s="6"/>
      <c r="C24" s="6"/>
      <c r="D24" s="6"/>
      <c r="E24" s="6"/>
      <c r="F24" s="7"/>
      <c r="G24" s="7"/>
      <c r="H24" s="35">
        <f>H134</f>
        <v>-0.05</v>
      </c>
      <c r="I24" s="9">
        <f>I4</f>
        <v>0.38023006328864567</v>
      </c>
      <c r="J24" s="9">
        <f>I24*(1+$H$24)</f>
        <v>0.36121856012421338</v>
      </c>
      <c r="K24" s="9">
        <f t="shared" ref="K24:R24" si="21">J24*(1+$H$24)</f>
        <v>0.34315763211800271</v>
      </c>
      <c r="L24" s="9">
        <f t="shared" si="21"/>
        <v>0.32599975051210256</v>
      </c>
      <c r="M24" s="9">
        <f t="shared" si="21"/>
        <v>0.30969976298649743</v>
      </c>
      <c r="N24" s="9">
        <f t="shared" si="21"/>
        <v>0.29421477483717257</v>
      </c>
      <c r="O24" s="9">
        <f t="shared" si="21"/>
        <v>0.27950403609531393</v>
      </c>
      <c r="P24" s="9">
        <f t="shared" si="21"/>
        <v>0.26552883429054824</v>
      </c>
      <c r="Q24" s="9">
        <f t="shared" si="21"/>
        <v>0.25225239257602083</v>
      </c>
      <c r="R24" s="9">
        <f t="shared" si="21"/>
        <v>0.23963977294721978</v>
      </c>
    </row>
    <row r="25" spans="1:20" x14ac:dyDescent="0.2">
      <c r="A25" s="10" t="s">
        <v>8</v>
      </c>
      <c r="B25" s="4"/>
      <c r="C25" s="4"/>
      <c r="D25" s="4"/>
      <c r="E25" s="4"/>
      <c r="F25" s="7"/>
      <c r="G25" s="7"/>
      <c r="H25" s="8"/>
      <c r="I25" s="11">
        <f>I6</f>
        <v>580901.50889749289</v>
      </c>
      <c r="J25" s="11">
        <f>750000-J28</f>
        <v>589356.43345261819</v>
      </c>
      <c r="K25" s="11">
        <f t="shared" ref="K25:P25" si="22">750000-K28</f>
        <v>597388.61177998735</v>
      </c>
      <c r="L25" s="11">
        <f t="shared" si="22"/>
        <v>605019.18119098793</v>
      </c>
      <c r="M25" s="11">
        <f t="shared" si="22"/>
        <v>612268.22213143855</v>
      </c>
      <c r="N25" s="11">
        <f t="shared" si="22"/>
        <v>619154.81102486665</v>
      </c>
      <c r="O25" s="11">
        <f t="shared" si="22"/>
        <v>625697.07047362335</v>
      </c>
      <c r="P25" s="11">
        <f t="shared" si="22"/>
        <v>631912.21694994217</v>
      </c>
      <c r="Q25" s="11">
        <f>Q32-Q28-Q29</f>
        <v>603801.00197823741</v>
      </c>
      <c r="R25" s="11">
        <f>R32-R28-R29</f>
        <v>574295.6422295823</v>
      </c>
    </row>
    <row r="26" spans="1:20" x14ac:dyDescent="0.2">
      <c r="A26" s="10" t="s">
        <v>89</v>
      </c>
      <c r="B26" s="4"/>
      <c r="C26" s="4"/>
      <c r="D26" s="4"/>
      <c r="E26" s="4"/>
      <c r="F26" s="7"/>
      <c r="G26" s="7"/>
      <c r="H26" s="8"/>
      <c r="I26" s="54">
        <v>250000</v>
      </c>
      <c r="J26" s="12"/>
      <c r="K26" s="12"/>
      <c r="L26" s="12"/>
      <c r="M26" s="12"/>
      <c r="N26" s="12"/>
      <c r="O26" s="12"/>
      <c r="P26" s="12"/>
      <c r="Q26" s="12"/>
      <c r="R26" s="12"/>
    </row>
    <row r="27" spans="1:20" x14ac:dyDescent="0.2">
      <c r="A27" s="10" t="s">
        <v>9</v>
      </c>
      <c r="B27" s="4"/>
      <c r="C27" s="4"/>
      <c r="D27" s="4"/>
      <c r="E27" s="4"/>
      <c r="F27" s="7"/>
      <c r="G27" s="7"/>
      <c r="H27" s="8"/>
      <c r="I27" s="58">
        <f>I8</f>
        <v>46348.088958031265</v>
      </c>
      <c r="J27" s="58">
        <f>J32-J25-J28-J29</f>
        <v>249882.47331540869</v>
      </c>
      <c r="K27" s="58">
        <f t="shared" ref="K27:P27" si="23">K32-K25-K28-K29</f>
        <v>204972.54901465331</v>
      </c>
      <c r="L27" s="58">
        <f t="shared" si="23"/>
        <v>161578.910960685</v>
      </c>
      <c r="M27" s="58">
        <f t="shared" si="23"/>
        <v>119662.20533957682</v>
      </c>
      <c r="N27" s="58">
        <f t="shared" si="23"/>
        <v>79183.223003177904</v>
      </c>
      <c r="O27" s="58">
        <f t="shared" si="23"/>
        <v>40102.983387069893</v>
      </c>
      <c r="P27" s="58">
        <f t="shared" si="23"/>
        <v>2382.8096750646364</v>
      </c>
      <c r="Q27" s="58"/>
      <c r="R27" s="58"/>
    </row>
    <row r="28" spans="1:20" x14ac:dyDescent="0.2">
      <c r="A28" s="14" t="s">
        <v>111</v>
      </c>
      <c r="B28" s="49"/>
      <c r="C28" s="49"/>
      <c r="D28" s="49"/>
      <c r="E28" s="4"/>
      <c r="F28" s="50"/>
      <c r="G28" s="50"/>
      <c r="H28" s="51"/>
      <c r="I28" s="13">
        <f>I9</f>
        <v>169098.49110250713</v>
      </c>
      <c r="J28" s="11">
        <f>I28*(1+$H$24)</f>
        <v>160643.56654738178</v>
      </c>
      <c r="K28" s="11">
        <f t="shared" ref="K28:R28" si="24">J28*(1+$H$24)</f>
        <v>152611.38822001268</v>
      </c>
      <c r="L28" s="11">
        <f t="shared" si="24"/>
        <v>144980.81880901204</v>
      </c>
      <c r="M28" s="11">
        <f t="shared" si="24"/>
        <v>137731.77786856142</v>
      </c>
      <c r="N28" s="11">
        <f t="shared" si="24"/>
        <v>130845.18897513334</v>
      </c>
      <c r="O28" s="11">
        <f t="shared" si="24"/>
        <v>124302.92952637667</v>
      </c>
      <c r="P28" s="11">
        <f t="shared" si="24"/>
        <v>118087.78305005783</v>
      </c>
      <c r="Q28" s="11">
        <f t="shared" si="24"/>
        <v>112183.39389755492</v>
      </c>
      <c r="R28" s="11">
        <f t="shared" si="24"/>
        <v>106574.22420267717</v>
      </c>
      <c r="T28" s="55" t="s">
        <v>118</v>
      </c>
    </row>
    <row r="29" spans="1:20" x14ac:dyDescent="0.2">
      <c r="A29" s="14" t="s">
        <v>10</v>
      </c>
      <c r="B29" s="4"/>
      <c r="C29" s="4"/>
      <c r="D29" s="4"/>
      <c r="E29" s="4"/>
      <c r="F29" s="7"/>
      <c r="G29" s="7"/>
      <c r="H29" s="8"/>
      <c r="I29" s="54">
        <f>I10</f>
        <v>190000</v>
      </c>
      <c r="J29" s="54">
        <f>I29</f>
        <v>190000</v>
      </c>
      <c r="K29" s="54">
        <f t="shared" ref="K29:R29" si="25">J29</f>
        <v>190000</v>
      </c>
      <c r="L29" s="54">
        <f t="shared" si="25"/>
        <v>190000</v>
      </c>
      <c r="M29" s="54">
        <f t="shared" si="25"/>
        <v>190000</v>
      </c>
      <c r="N29" s="54">
        <f t="shared" si="25"/>
        <v>190000</v>
      </c>
      <c r="O29" s="54">
        <f t="shared" si="25"/>
        <v>190000</v>
      </c>
      <c r="P29" s="54">
        <f t="shared" si="25"/>
        <v>190000</v>
      </c>
      <c r="Q29" s="54">
        <f t="shared" si="25"/>
        <v>190000</v>
      </c>
      <c r="R29" s="54">
        <f t="shared" si="25"/>
        <v>190000</v>
      </c>
      <c r="T29" t="s">
        <v>117</v>
      </c>
    </row>
    <row r="30" spans="1:20" ht="17" customHeight="1" x14ac:dyDescent="0.2">
      <c r="A30" t="s">
        <v>115</v>
      </c>
      <c r="B30" s="49"/>
      <c r="C30" s="49"/>
      <c r="D30" s="49"/>
      <c r="E30" s="49"/>
      <c r="F30" s="50"/>
      <c r="G30" s="50"/>
      <c r="H30" s="51"/>
      <c r="I30" s="11">
        <f>SUM(I25:I29)</f>
        <v>1236348.0889580313</v>
      </c>
      <c r="J30" s="11">
        <f>SUM(J25:J29)</f>
        <v>1189882.4733154087</v>
      </c>
      <c r="K30" s="11">
        <f>SUM(K25:K29)</f>
        <v>1144972.5490146533</v>
      </c>
      <c r="L30" s="11">
        <f t="shared" ref="L30" si="26">SUM(L25:L29)</f>
        <v>1101578.910960685</v>
      </c>
      <c r="M30" s="11">
        <f>SUM(M25:M29)</f>
        <v>1059662.2053395768</v>
      </c>
      <c r="N30" s="11">
        <f t="shared" ref="N30:R30" si="27">SUM(N25:N29)</f>
        <v>1019183.2230031779</v>
      </c>
      <c r="O30" s="11">
        <f t="shared" si="27"/>
        <v>980102.98338706989</v>
      </c>
      <c r="P30" s="11">
        <f t="shared" si="27"/>
        <v>942382.80967506464</v>
      </c>
      <c r="Q30" s="11">
        <f t="shared" si="27"/>
        <v>905984.39587579237</v>
      </c>
      <c r="R30" s="11">
        <f t="shared" si="27"/>
        <v>870869.86643225944</v>
      </c>
    </row>
    <row r="31" spans="1:20" ht="17" customHeight="1" x14ac:dyDescent="0.2">
      <c r="A31" t="s">
        <v>116</v>
      </c>
      <c r="B31" s="49"/>
      <c r="C31" s="49"/>
      <c r="D31" s="49"/>
      <c r="E31" s="49">
        <f>E28+E25</f>
        <v>0</v>
      </c>
      <c r="F31" s="50"/>
      <c r="G31" s="50"/>
      <c r="H31" s="51"/>
      <c r="I31" s="54">
        <f>I28+I25</f>
        <v>750000</v>
      </c>
      <c r="J31" s="54">
        <f>I31</f>
        <v>750000</v>
      </c>
      <c r="K31" s="54">
        <f>J31</f>
        <v>750000</v>
      </c>
      <c r="L31" s="54">
        <f t="shared" ref="L31:R31" si="28">L28+L25</f>
        <v>750000</v>
      </c>
      <c r="M31" s="54">
        <f t="shared" si="28"/>
        <v>750000</v>
      </c>
      <c r="N31" s="54">
        <f t="shared" si="28"/>
        <v>750000</v>
      </c>
      <c r="O31" s="54">
        <f t="shared" si="28"/>
        <v>750000</v>
      </c>
      <c r="P31" s="54">
        <f t="shared" si="28"/>
        <v>750000</v>
      </c>
      <c r="Q31" s="54">
        <f t="shared" si="28"/>
        <v>715984.39587579237</v>
      </c>
      <c r="R31" s="54">
        <f t="shared" si="28"/>
        <v>680869.86643225944</v>
      </c>
      <c r="S31" t="s">
        <v>31</v>
      </c>
      <c r="T31" t="s">
        <v>117</v>
      </c>
    </row>
    <row r="32" spans="1:20" x14ac:dyDescent="0.2">
      <c r="A32" t="s">
        <v>11</v>
      </c>
      <c r="B32" s="4"/>
      <c r="C32" s="4"/>
      <c r="D32" s="4"/>
      <c r="E32" s="4"/>
      <c r="F32" s="7"/>
      <c r="G32" s="7"/>
      <c r="H32" s="8"/>
      <c r="I32" s="4">
        <f>I13</f>
        <v>1236348.0889580313</v>
      </c>
      <c r="J32" s="4">
        <f t="shared" ref="J32:R32" si="29">J24*J3</f>
        <v>1189882.4733154087</v>
      </c>
      <c r="K32" s="4">
        <f t="shared" si="29"/>
        <v>1144972.5490146533</v>
      </c>
      <c r="L32" s="4">
        <f t="shared" si="29"/>
        <v>1101578.910960685</v>
      </c>
      <c r="M32" s="4">
        <f t="shared" si="29"/>
        <v>1059662.2053395768</v>
      </c>
      <c r="N32" s="4">
        <f t="shared" si="29"/>
        <v>1019183.2230031779</v>
      </c>
      <c r="O32" s="4">
        <f t="shared" si="29"/>
        <v>980102.98338706989</v>
      </c>
      <c r="P32" s="4">
        <f t="shared" si="29"/>
        <v>942382.80967506464</v>
      </c>
      <c r="Q32" s="4">
        <f t="shared" si="29"/>
        <v>905984.39587579237</v>
      </c>
      <c r="R32" s="4">
        <f t="shared" si="29"/>
        <v>870869.86643225944</v>
      </c>
      <c r="S32" s="13">
        <f>SUM(I32:R32)</f>
        <v>10450967.50596172</v>
      </c>
    </row>
    <row r="33" spans="1:21" x14ac:dyDescent="0.2">
      <c r="A33" t="s">
        <v>14</v>
      </c>
      <c r="M33" s="46"/>
      <c r="N33" s="46"/>
      <c r="O33" s="46"/>
      <c r="P33" s="46"/>
      <c r="Q33" s="46"/>
      <c r="R33" s="46"/>
      <c r="T33" t="s">
        <v>121</v>
      </c>
    </row>
    <row r="34" spans="1:21" s="21" customFormat="1" ht="17" customHeight="1" x14ac:dyDescent="0.2">
      <c r="A34" s="16" t="s">
        <v>101</v>
      </c>
      <c r="B34" s="17"/>
      <c r="C34" s="17"/>
      <c r="D34" s="17"/>
      <c r="E34" s="17"/>
      <c r="F34" s="18"/>
      <c r="G34" s="18"/>
      <c r="H34" s="19"/>
      <c r="I34" s="20"/>
      <c r="J34" s="20"/>
      <c r="K34" s="20"/>
      <c r="L34" s="20"/>
      <c r="M34" s="11"/>
      <c r="N34" s="11"/>
      <c r="O34" s="11"/>
      <c r="P34" s="11"/>
      <c r="Q34" s="11"/>
      <c r="R34" s="11"/>
    </row>
    <row r="35" spans="1:21" ht="18" customHeight="1" x14ac:dyDescent="0.2">
      <c r="A35" t="s">
        <v>7</v>
      </c>
      <c r="B35" s="6"/>
      <c r="C35" s="6"/>
      <c r="D35" s="6"/>
      <c r="E35" s="6"/>
      <c r="F35" s="7"/>
      <c r="G35" s="7"/>
      <c r="H35" s="35">
        <f>H24</f>
        <v>-0.05</v>
      </c>
      <c r="I35" s="9">
        <f>I24</f>
        <v>0.38023006328864567</v>
      </c>
      <c r="J35" s="9">
        <f>I35*(1+$H$24)</f>
        <v>0.36121856012421338</v>
      </c>
      <c r="K35" s="9">
        <f t="shared" ref="K35:R35" si="30">J35*(1+$H$24)</f>
        <v>0.34315763211800271</v>
      </c>
      <c r="L35" s="9">
        <f t="shared" si="30"/>
        <v>0.32599975051210256</v>
      </c>
      <c r="M35" s="9">
        <f t="shared" si="30"/>
        <v>0.30969976298649743</v>
      </c>
      <c r="N35" s="9">
        <f t="shared" si="30"/>
        <v>0.29421477483717257</v>
      </c>
      <c r="O35" s="9">
        <f t="shared" si="30"/>
        <v>0.27950403609531393</v>
      </c>
      <c r="P35" s="9">
        <f t="shared" si="30"/>
        <v>0.26552883429054824</v>
      </c>
      <c r="Q35" s="9">
        <f t="shared" si="30"/>
        <v>0.25225239257602083</v>
      </c>
      <c r="R35" s="9">
        <f t="shared" si="30"/>
        <v>0.23963977294721978</v>
      </c>
    </row>
    <row r="36" spans="1:21" x14ac:dyDescent="0.2">
      <c r="A36" s="10" t="s">
        <v>8</v>
      </c>
      <c r="B36" s="4"/>
      <c r="C36" s="4"/>
      <c r="D36" s="4"/>
      <c r="E36" s="4"/>
      <c r="F36" s="7"/>
      <c r="G36" s="7"/>
      <c r="H36" s="8"/>
      <c r="I36" s="11">
        <f>I6</f>
        <v>580901.50889749289</v>
      </c>
      <c r="J36" s="11">
        <f>J43-J37-J39-J40</f>
        <v>589238.90676802688</v>
      </c>
      <c r="K36" s="11">
        <f t="shared" ref="K36:R36" si="31">K43-K37-K39-K40</f>
        <v>552361.16079464066</v>
      </c>
      <c r="L36" s="11">
        <f t="shared" si="31"/>
        <v>516598.09215167293</v>
      </c>
      <c r="M36" s="11">
        <f t="shared" si="31"/>
        <v>481930.42747101537</v>
      </c>
      <c r="N36" s="11">
        <f t="shared" si="31"/>
        <v>448338.03402804455</v>
      </c>
      <c r="O36" s="11">
        <f t="shared" si="31"/>
        <v>415800.05386069324</v>
      </c>
      <c r="P36" s="11">
        <f t="shared" si="31"/>
        <v>384295.02662500681</v>
      </c>
      <c r="Q36" s="11">
        <f t="shared" si="31"/>
        <v>353801.00197823741</v>
      </c>
      <c r="R36" s="11">
        <f t="shared" si="31"/>
        <v>324295.6422295823</v>
      </c>
      <c r="S36" t="s">
        <v>88</v>
      </c>
    </row>
    <row r="37" spans="1:21" x14ac:dyDescent="0.2">
      <c r="A37" s="10" t="s">
        <v>89</v>
      </c>
      <c r="B37" s="4"/>
      <c r="C37" s="4"/>
      <c r="D37" s="4"/>
      <c r="E37" s="4"/>
      <c r="F37" s="7"/>
      <c r="G37" s="7"/>
      <c r="H37" s="8"/>
      <c r="I37" s="54">
        <v>250000</v>
      </c>
      <c r="J37" s="54">
        <f>I37</f>
        <v>250000</v>
      </c>
      <c r="K37" s="54">
        <f t="shared" ref="K37:R37" si="32">J37</f>
        <v>250000</v>
      </c>
      <c r="L37" s="54">
        <f t="shared" si="32"/>
        <v>250000</v>
      </c>
      <c r="M37" s="54">
        <f t="shared" si="32"/>
        <v>250000</v>
      </c>
      <c r="N37" s="54">
        <f t="shared" si="32"/>
        <v>250000</v>
      </c>
      <c r="O37" s="54">
        <f t="shared" si="32"/>
        <v>250000</v>
      </c>
      <c r="P37" s="54">
        <f t="shared" si="32"/>
        <v>250000</v>
      </c>
      <c r="Q37" s="54">
        <f t="shared" si="32"/>
        <v>250000</v>
      </c>
      <c r="R37" s="54">
        <f t="shared" si="32"/>
        <v>250000</v>
      </c>
      <c r="S37" t="s">
        <v>31</v>
      </c>
    </row>
    <row r="38" spans="1:21" x14ac:dyDescent="0.2">
      <c r="A38" s="10" t="s">
        <v>9</v>
      </c>
      <c r="B38" s="4"/>
      <c r="C38" s="4"/>
      <c r="D38" s="4"/>
      <c r="E38" s="4"/>
      <c r="F38" s="7"/>
      <c r="G38" s="7"/>
      <c r="H38" s="8"/>
      <c r="I38" s="58">
        <f>I8</f>
        <v>46348.088958031265</v>
      </c>
      <c r="J38" s="58"/>
      <c r="K38" s="58"/>
      <c r="L38" s="58"/>
      <c r="M38" s="58"/>
      <c r="N38" s="58"/>
      <c r="O38" s="58"/>
      <c r="P38" s="58"/>
      <c r="Q38" s="58"/>
      <c r="R38" s="58"/>
    </row>
    <row r="39" spans="1:21" x14ac:dyDescent="0.2">
      <c r="A39" s="14" t="s">
        <v>111</v>
      </c>
      <c r="B39" s="49"/>
      <c r="C39" s="49"/>
      <c r="D39" s="49"/>
      <c r="E39" s="4"/>
      <c r="F39" s="50"/>
      <c r="G39" s="50"/>
      <c r="H39" s="51"/>
      <c r="I39" s="13">
        <f>I9</f>
        <v>169098.49110250713</v>
      </c>
      <c r="J39" s="13">
        <f>J28</f>
        <v>160643.56654738178</v>
      </c>
      <c r="K39" s="13">
        <f t="shared" ref="K39:R39" si="33">K28</f>
        <v>152611.38822001268</v>
      </c>
      <c r="L39" s="13">
        <f t="shared" si="33"/>
        <v>144980.81880901204</v>
      </c>
      <c r="M39" s="13">
        <f t="shared" si="33"/>
        <v>137731.77786856142</v>
      </c>
      <c r="N39" s="13">
        <f t="shared" si="33"/>
        <v>130845.18897513334</v>
      </c>
      <c r="O39" s="13">
        <f t="shared" si="33"/>
        <v>124302.92952637667</v>
      </c>
      <c r="P39" s="13">
        <f t="shared" si="33"/>
        <v>118087.78305005783</v>
      </c>
      <c r="Q39" s="13">
        <f t="shared" si="33"/>
        <v>112183.39389755492</v>
      </c>
      <c r="R39" s="13">
        <f t="shared" si="33"/>
        <v>106574.22420267717</v>
      </c>
      <c r="T39" s="55" t="s">
        <v>118</v>
      </c>
    </row>
    <row r="40" spans="1:21" x14ac:dyDescent="0.2">
      <c r="A40" s="14" t="s">
        <v>10</v>
      </c>
      <c r="B40" s="4"/>
      <c r="C40" s="4"/>
      <c r="D40" s="4"/>
      <c r="E40" s="4"/>
      <c r="F40" s="7"/>
      <c r="G40" s="7"/>
      <c r="H40" s="8"/>
      <c r="I40" s="54">
        <f>I19</f>
        <v>190000</v>
      </c>
      <c r="J40" s="54">
        <f>I40</f>
        <v>190000</v>
      </c>
      <c r="K40" s="54">
        <f t="shared" ref="K40:R40" si="34">J40</f>
        <v>190000</v>
      </c>
      <c r="L40" s="54">
        <f t="shared" si="34"/>
        <v>190000</v>
      </c>
      <c r="M40" s="54">
        <f t="shared" si="34"/>
        <v>190000</v>
      </c>
      <c r="N40" s="54">
        <f t="shared" si="34"/>
        <v>190000</v>
      </c>
      <c r="O40" s="54">
        <f t="shared" si="34"/>
        <v>190000</v>
      </c>
      <c r="P40" s="54">
        <f t="shared" si="34"/>
        <v>190000</v>
      </c>
      <c r="Q40" s="54">
        <f t="shared" si="34"/>
        <v>190000</v>
      </c>
      <c r="R40" s="54">
        <f t="shared" si="34"/>
        <v>190000</v>
      </c>
      <c r="T40" t="s">
        <v>117</v>
      </c>
    </row>
    <row r="41" spans="1:21" ht="17" customHeight="1" x14ac:dyDescent="0.2">
      <c r="A41" t="s">
        <v>115</v>
      </c>
      <c r="B41" s="49"/>
      <c r="C41" s="49"/>
      <c r="D41" s="49"/>
      <c r="E41" s="49"/>
      <c r="F41" s="50"/>
      <c r="G41" s="50"/>
      <c r="H41" s="51"/>
      <c r="I41" s="11">
        <f>SUM(I36:I40)</f>
        <v>1236348.0889580313</v>
      </c>
      <c r="J41" s="11">
        <f t="shared" ref="J41:R41" si="35">SUM(J36:J40)</f>
        <v>1189882.4733154087</v>
      </c>
      <c r="K41" s="11">
        <f t="shared" si="35"/>
        <v>1144972.5490146533</v>
      </c>
      <c r="L41" s="11">
        <f t="shared" si="35"/>
        <v>1101578.910960685</v>
      </c>
      <c r="M41" s="11">
        <f t="shared" si="35"/>
        <v>1059662.2053395768</v>
      </c>
      <c r="N41" s="11">
        <f t="shared" si="35"/>
        <v>1019183.2230031779</v>
      </c>
      <c r="O41" s="11">
        <f t="shared" si="35"/>
        <v>980102.98338706989</v>
      </c>
      <c r="P41" s="11">
        <f t="shared" si="35"/>
        <v>942382.80967506464</v>
      </c>
      <c r="Q41" s="11">
        <f t="shared" si="35"/>
        <v>905984.39587579237</v>
      </c>
      <c r="R41" s="11">
        <f t="shared" si="35"/>
        <v>870869.86643225944</v>
      </c>
    </row>
    <row r="42" spans="1:21" ht="17" customHeight="1" x14ac:dyDescent="0.2">
      <c r="A42" t="s">
        <v>116</v>
      </c>
      <c r="B42" s="49"/>
      <c r="C42" s="49"/>
      <c r="D42" s="49"/>
      <c r="E42" s="49">
        <f>E39+E36</f>
        <v>0</v>
      </c>
      <c r="F42" s="50"/>
      <c r="G42" s="50"/>
      <c r="H42" s="51"/>
      <c r="I42" s="54">
        <f>I39+I36</f>
        <v>750000</v>
      </c>
      <c r="J42" s="54">
        <f>J36+J39</f>
        <v>749882.47331540869</v>
      </c>
      <c r="K42" s="54">
        <f t="shared" ref="K42:R42" si="36">K36+K39</f>
        <v>704972.54901465331</v>
      </c>
      <c r="L42" s="54">
        <f t="shared" si="36"/>
        <v>661578.910960685</v>
      </c>
      <c r="M42" s="54">
        <f t="shared" si="36"/>
        <v>619662.20533957682</v>
      </c>
      <c r="N42" s="54">
        <f t="shared" si="36"/>
        <v>579183.2230031779</v>
      </c>
      <c r="O42" s="54">
        <f t="shared" si="36"/>
        <v>540102.98338706989</v>
      </c>
      <c r="P42" s="54">
        <f t="shared" si="36"/>
        <v>502382.80967506464</v>
      </c>
      <c r="Q42" s="54">
        <f t="shared" si="36"/>
        <v>465984.39587579237</v>
      </c>
      <c r="R42" s="54">
        <f t="shared" si="36"/>
        <v>430869.86643225944</v>
      </c>
      <c r="T42" t="s">
        <v>117</v>
      </c>
      <c r="U42" t="s">
        <v>122</v>
      </c>
    </row>
    <row r="43" spans="1:21" x14ac:dyDescent="0.2">
      <c r="A43" t="s">
        <v>11</v>
      </c>
      <c r="B43" s="4"/>
      <c r="C43" s="4"/>
      <c r="D43" s="4"/>
      <c r="E43" s="4"/>
      <c r="F43" s="7"/>
      <c r="G43" s="7"/>
      <c r="H43" s="8"/>
      <c r="I43" s="4">
        <f>I32</f>
        <v>1236348.0889580313</v>
      </c>
      <c r="J43" s="4">
        <f t="shared" ref="J43:R43" si="37">J32</f>
        <v>1189882.4733154087</v>
      </c>
      <c r="K43" s="4">
        <f t="shared" si="37"/>
        <v>1144972.5490146533</v>
      </c>
      <c r="L43" s="4">
        <f t="shared" si="37"/>
        <v>1101578.910960685</v>
      </c>
      <c r="M43" s="4">
        <f t="shared" si="37"/>
        <v>1059662.2053395768</v>
      </c>
      <c r="N43" s="4">
        <f t="shared" si="37"/>
        <v>1019183.2230031779</v>
      </c>
      <c r="O43" s="4">
        <f t="shared" si="37"/>
        <v>980102.98338706989</v>
      </c>
      <c r="P43" s="4">
        <f t="shared" si="37"/>
        <v>942382.80967506464</v>
      </c>
      <c r="Q43" s="4">
        <f t="shared" si="37"/>
        <v>905984.39587579237</v>
      </c>
      <c r="R43" s="4">
        <f t="shared" si="37"/>
        <v>870869.86643225944</v>
      </c>
      <c r="S43" s="13">
        <f>SUM(I43:R43)</f>
        <v>10450967.50596172</v>
      </c>
    </row>
    <row r="44" spans="1:21" x14ac:dyDescent="0.2">
      <c r="A44" t="s">
        <v>14</v>
      </c>
      <c r="M44" s="11"/>
      <c r="N44" s="11"/>
      <c r="O44" s="11"/>
      <c r="P44" s="11"/>
      <c r="Q44" s="11"/>
      <c r="R44" s="11"/>
      <c r="T44" t="s">
        <v>120</v>
      </c>
    </row>
    <row r="46" spans="1:21" s="21" customFormat="1" ht="17" customHeight="1" x14ac:dyDescent="0.2">
      <c r="A46" s="16" t="s">
        <v>16</v>
      </c>
      <c r="B46" s="17"/>
      <c r="C46" s="17"/>
      <c r="D46" s="17"/>
      <c r="E46" s="17"/>
      <c r="F46" s="18"/>
      <c r="G46" s="18"/>
      <c r="H46" s="19"/>
      <c r="I46" s="20"/>
      <c r="J46" s="20"/>
      <c r="K46" s="20"/>
      <c r="L46" s="20"/>
      <c r="M46" s="20"/>
      <c r="N46" s="20"/>
      <c r="O46" s="20"/>
      <c r="P46" s="20"/>
      <c r="Q46" s="20"/>
      <c r="R46" s="20"/>
    </row>
    <row r="47" spans="1:21" ht="17" customHeight="1" x14ac:dyDescent="0.2">
      <c r="A47" s="22" t="s">
        <v>17</v>
      </c>
      <c r="B47" s="22"/>
      <c r="C47" s="22"/>
      <c r="D47" s="23"/>
      <c r="E47" s="23"/>
      <c r="F47" s="23"/>
      <c r="G47" s="23"/>
      <c r="H47" s="23" t="s">
        <v>18</v>
      </c>
      <c r="I47" s="60"/>
      <c r="J47" s="23"/>
      <c r="K47" s="23"/>
      <c r="L47" s="23"/>
      <c r="M47" s="23"/>
      <c r="N47" s="23"/>
      <c r="O47" s="23"/>
      <c r="P47" s="23"/>
      <c r="Q47" s="23"/>
      <c r="R47" s="23"/>
      <c r="S47" s="23"/>
    </row>
    <row r="48" spans="1:21" x14ac:dyDescent="0.2">
      <c r="A48" s="23" t="s">
        <v>19</v>
      </c>
      <c r="B48" s="23"/>
      <c r="C48" s="23"/>
      <c r="D48" s="23"/>
      <c r="E48" s="23"/>
      <c r="F48" s="23"/>
      <c r="G48" s="23"/>
      <c r="H48" s="30">
        <v>64</v>
      </c>
      <c r="I48" s="24">
        <f t="shared" ref="I48:R48" si="38">I6*($H$48*(1+0.02*(I2-2024)))</f>
        <v>39408358.363605917</v>
      </c>
      <c r="J48" s="24">
        <f t="shared" si="38"/>
        <v>40419878.745395876</v>
      </c>
      <c r="K48" s="24">
        <f t="shared" si="38"/>
        <v>41435066.520079799</v>
      </c>
      <c r="L48" s="24">
        <f t="shared" si="38"/>
        <v>42453726.446729936</v>
      </c>
      <c r="M48" s="24">
        <f t="shared" si="38"/>
        <v>43163379.901793219</v>
      </c>
      <c r="N48" s="24">
        <f t="shared" si="38"/>
        <v>43233121.456135899</v>
      </c>
      <c r="O48" s="24">
        <f t="shared" si="38"/>
        <v>43270274.135121427</v>
      </c>
      <c r="P48" s="24">
        <f t="shared" si="38"/>
        <v>43275174.313842252</v>
      </c>
      <c r="Q48" s="24">
        <f t="shared" si="38"/>
        <v>43248178.992693774</v>
      </c>
      <c r="R48" s="24">
        <f t="shared" si="38"/>
        <v>43189664.241077617</v>
      </c>
      <c r="S48" s="23"/>
    </row>
    <row r="49" spans="1:19" x14ac:dyDescent="0.2">
      <c r="A49" s="23" t="s">
        <v>74</v>
      </c>
      <c r="B49" s="23"/>
      <c r="C49" s="23"/>
      <c r="D49" s="23"/>
      <c r="E49" s="23"/>
      <c r="F49" s="23"/>
      <c r="G49" s="23"/>
      <c r="H49" s="30">
        <v>99</v>
      </c>
      <c r="I49" s="24">
        <f>I7*($H$49*(1+0.05*(I2-2024)))</f>
        <v>28462500</v>
      </c>
      <c r="J49" s="24">
        <f>J7*($H$49*(1+0.05*(J2-2024)))</f>
        <v>29700000</v>
      </c>
      <c r="K49" s="24">
        <f t="shared" ref="K49:R49" si="39">K7*($H$49*(1+0.05*(K2-2024)))</f>
        <v>30937500</v>
      </c>
      <c r="L49" s="24">
        <f t="shared" si="39"/>
        <v>32175000.000000004</v>
      </c>
      <c r="M49" s="24">
        <f t="shared" si="39"/>
        <v>33412500</v>
      </c>
      <c r="N49" s="24">
        <f t="shared" si="39"/>
        <v>34650000</v>
      </c>
      <c r="O49" s="24">
        <f t="shared" si="39"/>
        <v>35887499.999999993</v>
      </c>
      <c r="P49" s="24">
        <f t="shared" si="39"/>
        <v>37125000</v>
      </c>
      <c r="Q49" s="24">
        <f t="shared" si="39"/>
        <v>38362500.000000007</v>
      </c>
      <c r="R49" s="24">
        <f t="shared" si="39"/>
        <v>39600000</v>
      </c>
      <c r="S49" s="23"/>
    </row>
    <row r="50" spans="1:19" x14ac:dyDescent="0.2">
      <c r="A50" s="23" t="s">
        <v>20</v>
      </c>
      <c r="B50" s="23"/>
      <c r="C50" s="23"/>
      <c r="D50" s="23"/>
      <c r="E50" s="23"/>
      <c r="F50" s="23"/>
      <c r="G50" s="23"/>
      <c r="H50" s="30">
        <v>171</v>
      </c>
      <c r="I50" s="24">
        <f>I8*($H$50*(1+0.02*(I2-2024)))</f>
        <v>8401054.6045327485</v>
      </c>
      <c r="J50" s="24">
        <f>J8*($H$50*(1+0.02*(J2-2024)))</f>
        <v>6240761.5587632954</v>
      </c>
      <c r="K50" s="24">
        <f>K8*($H$50*(1+0.02*(K2-2024)))</f>
        <v>3980642.5400296277</v>
      </c>
      <c r="L50" s="24">
        <f>L8*($H$50*(1+0.05*(L2-2024)))</f>
        <v>1882506.6908018363</v>
      </c>
      <c r="M50" s="24">
        <f t="shared" ref="M50:R50" si="40">M8*($H$50*(1+0.02*(M2-2024)))</f>
        <v>0</v>
      </c>
      <c r="N50" s="24">
        <f t="shared" si="40"/>
        <v>0</v>
      </c>
      <c r="O50" s="24">
        <f t="shared" si="40"/>
        <v>0</v>
      </c>
      <c r="P50" s="24">
        <f t="shared" si="40"/>
        <v>0</v>
      </c>
      <c r="Q50" s="24">
        <f t="shared" si="40"/>
        <v>0</v>
      </c>
      <c r="R50" s="24">
        <f t="shared" si="40"/>
        <v>0</v>
      </c>
      <c r="S50" s="23"/>
    </row>
    <row r="51" spans="1:19" x14ac:dyDescent="0.2">
      <c r="A51" s="22" t="s">
        <v>21</v>
      </c>
      <c r="B51" s="22"/>
      <c r="C51" s="22"/>
      <c r="D51" s="22"/>
      <c r="E51" s="22"/>
      <c r="F51" s="22"/>
      <c r="G51" s="22"/>
      <c r="H51" s="22"/>
      <c r="I51" s="26">
        <f>SUM(I48:I50)</f>
        <v>76271912.968138665</v>
      </c>
      <c r="J51" s="26">
        <f t="shared" ref="J51:R51" si="41">SUM(J48:J50)</f>
        <v>76360640.304159164</v>
      </c>
      <c r="K51" s="26">
        <f t="shared" si="41"/>
        <v>76353209.060109422</v>
      </c>
      <c r="L51" s="26">
        <f t="shared" si="41"/>
        <v>76511233.137531772</v>
      </c>
      <c r="M51" s="26">
        <f t="shared" si="41"/>
        <v>76575879.901793212</v>
      </c>
      <c r="N51" s="26">
        <f t="shared" si="41"/>
        <v>77883121.456135899</v>
      </c>
      <c r="O51" s="26">
        <f t="shared" si="41"/>
        <v>79157774.13512142</v>
      </c>
      <c r="P51" s="26">
        <f t="shared" si="41"/>
        <v>80400174.313842252</v>
      </c>
      <c r="Q51" s="26">
        <f t="shared" si="41"/>
        <v>81610678.992693782</v>
      </c>
      <c r="R51" s="26">
        <f t="shared" si="41"/>
        <v>82789664.241077617</v>
      </c>
      <c r="S51" s="23"/>
    </row>
    <row r="52" spans="1:19" x14ac:dyDescent="0.2">
      <c r="A52" s="22" t="s">
        <v>25</v>
      </c>
      <c r="J52" s="23"/>
      <c r="K52" s="23"/>
      <c r="L52" s="23"/>
      <c r="M52" s="23"/>
      <c r="N52" s="23"/>
      <c r="O52" s="23"/>
      <c r="P52" s="23"/>
      <c r="Q52" s="23"/>
      <c r="S52" s="26">
        <f>SUM(I51:R51)</f>
        <v>783914288.51060331</v>
      </c>
    </row>
    <row r="53" spans="1:19" x14ac:dyDescent="0.2">
      <c r="A53" s="23" t="s">
        <v>81</v>
      </c>
      <c r="B53" s="23"/>
      <c r="C53" s="23"/>
      <c r="D53" s="23"/>
      <c r="E53" s="23"/>
      <c r="F53" s="33">
        <v>220000000</v>
      </c>
      <c r="G53" s="33"/>
      <c r="H53" s="23"/>
      <c r="I53" s="27">
        <f>F53/20</f>
        <v>11000000</v>
      </c>
      <c r="J53" s="27">
        <f>I53</f>
        <v>11000000</v>
      </c>
      <c r="K53" s="27">
        <f t="shared" ref="K53:R53" si="42">J53</f>
        <v>11000000</v>
      </c>
      <c r="L53" s="27">
        <f t="shared" si="42"/>
        <v>11000000</v>
      </c>
      <c r="M53" s="27">
        <f t="shared" si="42"/>
        <v>11000000</v>
      </c>
      <c r="N53" s="27">
        <f t="shared" si="42"/>
        <v>11000000</v>
      </c>
      <c r="O53" s="27">
        <f t="shared" si="42"/>
        <v>11000000</v>
      </c>
      <c r="P53" s="27">
        <f t="shared" si="42"/>
        <v>11000000</v>
      </c>
      <c r="Q53" s="27">
        <f t="shared" si="42"/>
        <v>11000000</v>
      </c>
      <c r="R53" s="27">
        <f t="shared" si="42"/>
        <v>11000000</v>
      </c>
      <c r="S53" s="23" t="s">
        <v>127</v>
      </c>
    </row>
    <row r="54" spans="1:19" x14ac:dyDescent="0.2">
      <c r="A54" s="22" t="s">
        <v>24</v>
      </c>
      <c r="B54" s="23"/>
      <c r="C54" s="23"/>
      <c r="D54" s="23"/>
      <c r="E54" s="23"/>
      <c r="F54" s="23"/>
      <c r="G54" s="23"/>
      <c r="H54" s="23"/>
      <c r="I54" s="28">
        <f>SUM(I53+I51)</f>
        <v>87271912.968138665</v>
      </c>
      <c r="J54" s="28">
        <f t="shared" ref="J54:R54" si="43">SUM(J53+J51)</f>
        <v>87360640.304159164</v>
      </c>
      <c r="K54" s="28">
        <f t="shared" si="43"/>
        <v>87353209.060109422</v>
      </c>
      <c r="L54" s="28">
        <f t="shared" si="43"/>
        <v>87511233.137531772</v>
      </c>
      <c r="M54" s="28">
        <f t="shared" si="43"/>
        <v>87575879.901793212</v>
      </c>
      <c r="N54" s="28">
        <f t="shared" si="43"/>
        <v>88883121.456135899</v>
      </c>
      <c r="O54" s="28">
        <f t="shared" si="43"/>
        <v>90157774.13512142</v>
      </c>
      <c r="P54" s="28">
        <f t="shared" si="43"/>
        <v>91400174.313842252</v>
      </c>
      <c r="Q54" s="28">
        <f t="shared" si="43"/>
        <v>92610678.992693782</v>
      </c>
      <c r="R54" s="28">
        <f t="shared" si="43"/>
        <v>93789664.241077617</v>
      </c>
    </row>
    <row r="55" spans="1:19" x14ac:dyDescent="0.2">
      <c r="A55" s="15" t="s">
        <v>26</v>
      </c>
      <c r="S55" s="26">
        <f>SUM(I54:R54)</f>
        <v>893914288.51060331</v>
      </c>
    </row>
    <row r="56" spans="1:19" x14ac:dyDescent="0.2">
      <c r="A56" s="22" t="s">
        <v>27</v>
      </c>
      <c r="B56" s="22"/>
      <c r="C56" s="22"/>
      <c r="D56" s="23"/>
      <c r="E56" s="23"/>
      <c r="F56" s="23"/>
      <c r="G56" s="23"/>
      <c r="H56" s="23" t="s">
        <v>28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</row>
    <row r="57" spans="1:19" x14ac:dyDescent="0.2">
      <c r="A57" s="23" t="s">
        <v>19</v>
      </c>
      <c r="B57" s="23"/>
      <c r="C57" s="23"/>
      <c r="D57" s="23"/>
      <c r="E57" s="23"/>
      <c r="F57" s="23"/>
      <c r="G57" s="23"/>
      <c r="H57" s="24">
        <f>'Disposal costs'!F12</f>
        <v>47.643125769627581</v>
      </c>
      <c r="I57" s="24">
        <f>I6*($H$57*(1+0.02*(I2-2022)))</f>
        <v>30443560.01298666</v>
      </c>
      <c r="J57" s="24">
        <f t="shared" ref="J57:R57" si="44">J6*$H$57*(1+0.02*(I2-2022))</f>
        <v>30646734.712470945</v>
      </c>
      <c r="K57" s="24">
        <f t="shared" si="44"/>
        <v>31406074.087325752</v>
      </c>
      <c r="L57" s="24">
        <f t="shared" si="44"/>
        <v>32167915.464280803</v>
      </c>
      <c r="M57" s="24">
        <f t="shared" si="44"/>
        <v>32695565.669844918</v>
      </c>
      <c r="N57" s="24">
        <f t="shared" si="44"/>
        <v>32738658.818412658</v>
      </c>
      <c r="O57" s="24">
        <f t="shared" si="44"/>
        <v>32757379.968843009</v>
      </c>
      <c r="P57" s="24">
        <f t="shared" si="44"/>
        <v>32751989.303321239</v>
      </c>
      <c r="Q57" s="24">
        <f t="shared" si="44"/>
        <v>32722761.968619119</v>
      </c>
      <c r="R57" s="24">
        <f t="shared" si="44"/>
        <v>32669986.930266082</v>
      </c>
      <c r="S57" s="23" t="s">
        <v>123</v>
      </c>
    </row>
    <row r="58" spans="1:19" x14ac:dyDescent="0.2">
      <c r="A58" s="23" t="s">
        <v>74</v>
      </c>
      <c r="B58" s="23"/>
      <c r="C58" s="23"/>
      <c r="D58" s="23"/>
      <c r="E58" s="23"/>
      <c r="F58" s="23"/>
      <c r="G58" s="23"/>
      <c r="H58" s="24">
        <f>'Disposal costs'!F13</f>
        <v>78.280771161677052</v>
      </c>
      <c r="I58" s="24">
        <f>I7*($H$58*(1+0.05*(I2-2022)))</f>
        <v>24462740.988024082</v>
      </c>
      <c r="J58" s="24">
        <f t="shared" ref="J58:R58" si="45">J7*($H$58*(1+0.05*(J2-2022)))</f>
        <v>25441250.62754504</v>
      </c>
      <c r="K58" s="24">
        <f t="shared" si="45"/>
        <v>26419760.267066006</v>
      </c>
      <c r="L58" s="24">
        <f t="shared" si="45"/>
        <v>27398269.906586967</v>
      </c>
      <c r="M58" s="24">
        <f t="shared" si="45"/>
        <v>28376779.546107929</v>
      </c>
      <c r="N58" s="24">
        <f t="shared" si="45"/>
        <v>29355289.185628895</v>
      </c>
      <c r="O58" s="24">
        <f t="shared" si="45"/>
        <v>30333798.82514986</v>
      </c>
      <c r="P58" s="24">
        <f t="shared" si="45"/>
        <v>31312308.464670822</v>
      </c>
      <c r="Q58" s="24">
        <f t="shared" si="45"/>
        <v>32290818.104191784</v>
      </c>
      <c r="R58" s="24">
        <f t="shared" si="45"/>
        <v>33269327.743712749</v>
      </c>
      <c r="S58" s="23"/>
    </row>
    <row r="59" spans="1:19" x14ac:dyDescent="0.2">
      <c r="A59" s="23" t="s">
        <v>20</v>
      </c>
      <c r="B59" s="23"/>
      <c r="C59" s="23"/>
      <c r="D59" s="23"/>
      <c r="E59" s="23"/>
      <c r="F59" s="23"/>
      <c r="G59" s="23"/>
      <c r="H59" s="24">
        <f>'Disposal costs'!F14</f>
        <v>117.41999999999999</v>
      </c>
      <c r="I59" s="24">
        <f t="shared" ref="I59:R59" si="46">I8*($H$59*(1+0.02*(I2-2022)))</f>
        <v>5986411.8659972344</v>
      </c>
      <c r="J59" s="24">
        <f t="shared" si="46"/>
        <v>4444038.6013514427</v>
      </c>
      <c r="K59" s="24">
        <f t="shared" si="46"/>
        <v>2832769.9821229023</v>
      </c>
      <c r="L59" s="24">
        <f t="shared" si="46"/>
        <v>1153445.6380359146</v>
      </c>
      <c r="M59" s="24">
        <f t="shared" si="46"/>
        <v>0</v>
      </c>
      <c r="N59" s="24">
        <f t="shared" si="46"/>
        <v>0</v>
      </c>
      <c r="O59" s="24">
        <f t="shared" si="46"/>
        <v>0</v>
      </c>
      <c r="P59" s="24">
        <f t="shared" si="46"/>
        <v>0</v>
      </c>
      <c r="Q59" s="24">
        <f t="shared" si="46"/>
        <v>0</v>
      </c>
      <c r="R59" s="24">
        <f t="shared" si="46"/>
        <v>0</v>
      </c>
      <c r="S59" s="23"/>
    </row>
    <row r="60" spans="1:19" x14ac:dyDescent="0.2">
      <c r="A60" s="22" t="s">
        <v>21</v>
      </c>
      <c r="B60" s="22"/>
      <c r="C60" s="22"/>
      <c r="D60" s="22"/>
      <c r="E60" s="22"/>
      <c r="F60" s="22"/>
      <c r="G60" s="22"/>
      <c r="H60" s="22"/>
      <c r="I60" s="26">
        <f>SUM(I57:I59)</f>
        <v>60892712.867007978</v>
      </c>
      <c r="J60" s="26">
        <f t="shared" ref="J60:R60" si="47">SUM(J57:J59)</f>
        <v>60532023.941367425</v>
      </c>
      <c r="K60" s="26">
        <f t="shared" si="47"/>
        <v>60658604.336514659</v>
      </c>
      <c r="L60" s="26">
        <f t="shared" si="47"/>
        <v>60719631.00890369</v>
      </c>
      <c r="M60" s="26">
        <f t="shared" si="47"/>
        <v>61072345.215952843</v>
      </c>
      <c r="N60" s="26">
        <f t="shared" si="47"/>
        <v>62093948.004041553</v>
      </c>
      <c r="O60" s="26">
        <f t="shared" si="47"/>
        <v>63091178.79399287</v>
      </c>
      <c r="P60" s="26">
        <f t="shared" si="47"/>
        <v>64064297.767992064</v>
      </c>
      <c r="Q60" s="26">
        <f t="shared" si="47"/>
        <v>65013580.072810903</v>
      </c>
      <c r="R60" s="26">
        <f t="shared" si="47"/>
        <v>65939314.673978835</v>
      </c>
      <c r="S60" s="23"/>
    </row>
    <row r="61" spans="1:19" x14ac:dyDescent="0.2">
      <c r="A61" s="22" t="s">
        <v>80</v>
      </c>
      <c r="J61" s="23"/>
      <c r="K61" s="23"/>
      <c r="L61" s="23"/>
      <c r="M61" s="23"/>
      <c r="N61" s="23"/>
      <c r="O61" s="23"/>
      <c r="P61" s="23"/>
      <c r="Q61" s="23"/>
      <c r="S61" s="26">
        <f>SUM(I60:R60)</f>
        <v>624077636.68256283</v>
      </c>
    </row>
    <row r="62" spans="1:19" x14ac:dyDescent="0.2">
      <c r="A62" s="23" t="s">
        <v>81</v>
      </c>
      <c r="B62" s="23"/>
      <c r="C62" s="23"/>
      <c r="D62" s="23"/>
      <c r="E62" s="23"/>
      <c r="F62" s="27">
        <f>F53</f>
        <v>220000000</v>
      </c>
      <c r="G62" s="27"/>
      <c r="H62" s="23"/>
      <c r="I62" s="27">
        <f>F62/20</f>
        <v>11000000</v>
      </c>
      <c r="J62" s="27">
        <f>I62</f>
        <v>11000000</v>
      </c>
      <c r="K62" s="27">
        <f t="shared" ref="K62:R62" si="48">J62</f>
        <v>11000000</v>
      </c>
      <c r="L62" s="27">
        <f t="shared" si="48"/>
        <v>11000000</v>
      </c>
      <c r="M62" s="27">
        <f t="shared" si="48"/>
        <v>11000000</v>
      </c>
      <c r="N62" s="27">
        <f t="shared" si="48"/>
        <v>11000000</v>
      </c>
      <c r="O62" s="27">
        <f t="shared" si="48"/>
        <v>11000000</v>
      </c>
      <c r="P62" s="27">
        <f t="shared" si="48"/>
        <v>11000000</v>
      </c>
      <c r="Q62" s="27">
        <f t="shared" si="48"/>
        <v>11000000</v>
      </c>
      <c r="R62" s="27">
        <f t="shared" si="48"/>
        <v>11000000</v>
      </c>
      <c r="S62" s="23"/>
    </row>
    <row r="63" spans="1:19" x14ac:dyDescent="0.2">
      <c r="A63" s="22" t="s">
        <v>24</v>
      </c>
      <c r="B63" s="23"/>
      <c r="C63" s="23"/>
      <c r="D63" s="23"/>
      <c r="E63" s="23"/>
      <c r="F63" s="23"/>
      <c r="G63" s="23"/>
      <c r="H63" s="23"/>
      <c r="I63" s="28">
        <f>SUM(I62+I60)</f>
        <v>71892712.867007971</v>
      </c>
      <c r="J63" s="28">
        <f t="shared" ref="J63:R63" si="49">SUM(J62+J60)</f>
        <v>71532023.941367418</v>
      </c>
      <c r="K63" s="28">
        <f t="shared" si="49"/>
        <v>71658604.336514652</v>
      </c>
      <c r="L63" s="28">
        <f t="shared" si="49"/>
        <v>71719631.008903682</v>
      </c>
      <c r="M63" s="28">
        <f t="shared" si="49"/>
        <v>72072345.215952843</v>
      </c>
      <c r="N63" s="28">
        <f t="shared" si="49"/>
        <v>73093948.004041553</v>
      </c>
      <c r="O63" s="28">
        <f t="shared" si="49"/>
        <v>74091178.793992877</v>
      </c>
      <c r="P63" s="28">
        <f t="shared" si="49"/>
        <v>75064297.767992064</v>
      </c>
      <c r="Q63" s="28">
        <f t="shared" si="49"/>
        <v>76013580.072810903</v>
      </c>
      <c r="R63" s="28">
        <f t="shared" si="49"/>
        <v>76939314.673978835</v>
      </c>
    </row>
    <row r="64" spans="1:19" x14ac:dyDescent="0.2">
      <c r="A64" s="15" t="s">
        <v>26</v>
      </c>
      <c r="I64" s="25"/>
      <c r="S64" s="26">
        <f>SUM(I63:R63)</f>
        <v>734077636.68256271</v>
      </c>
    </row>
    <row r="66" spans="1:19" s="21" customFormat="1" x14ac:dyDescent="0.2">
      <c r="A66" s="16" t="s">
        <v>32</v>
      </c>
    </row>
    <row r="67" spans="1:19" x14ac:dyDescent="0.2">
      <c r="A67" s="22" t="s">
        <v>30</v>
      </c>
      <c r="B67" s="22"/>
      <c r="C67" s="22"/>
      <c r="D67" s="23"/>
      <c r="E67" s="23"/>
      <c r="F67" s="23"/>
      <c r="G67" s="23"/>
      <c r="H67" s="23" t="s">
        <v>18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</row>
    <row r="68" spans="1:19" x14ac:dyDescent="0.2">
      <c r="A68" s="23" t="s">
        <v>19</v>
      </c>
      <c r="B68" s="23"/>
      <c r="C68" s="23"/>
      <c r="D68" s="23"/>
      <c r="E68" s="23"/>
      <c r="F68" s="23"/>
      <c r="G68" s="23"/>
      <c r="H68" s="24">
        <f>H48</f>
        <v>64</v>
      </c>
      <c r="I68" s="24">
        <f t="shared" ref="I68:R68" si="50">I15*($H$68*(1+0.02*(I2-2024)))</f>
        <v>39408358.363605917</v>
      </c>
      <c r="J68" s="24">
        <f t="shared" si="50"/>
        <v>40419878.745395876</v>
      </c>
      <c r="K68" s="24">
        <f t="shared" si="50"/>
        <v>41435066.520079799</v>
      </c>
      <c r="L68" s="24">
        <f t="shared" si="50"/>
        <v>42453726.446729936</v>
      </c>
      <c r="M68" s="24">
        <f t="shared" si="50"/>
        <v>43475670.309120238</v>
      </c>
      <c r="N68" s="24">
        <f t="shared" si="50"/>
        <v>44500716.696246296</v>
      </c>
      <c r="O68" s="24">
        <f t="shared" si="50"/>
        <v>45528690.789216824</v>
      </c>
      <c r="P68" s="24">
        <f t="shared" si="50"/>
        <v>46559424.154339671</v>
      </c>
      <c r="Q68" s="24">
        <f t="shared" si="50"/>
        <v>47592754.542230621</v>
      </c>
      <c r="R68" s="24">
        <f t="shared" si="50"/>
        <v>48628525.692777365</v>
      </c>
      <c r="S68" s="23"/>
    </row>
    <row r="69" spans="1:19" x14ac:dyDescent="0.2">
      <c r="A69" s="23" t="s">
        <v>74</v>
      </c>
      <c r="B69" s="23"/>
      <c r="C69" s="23"/>
      <c r="D69" s="23"/>
      <c r="E69" s="23"/>
      <c r="F69" s="23"/>
      <c r="G69" s="23"/>
      <c r="H69" s="24">
        <f>H49</f>
        <v>99</v>
      </c>
      <c r="I69" s="24">
        <f>I16*($H$69*(1+0.052*(I2-2024)))</f>
        <v>28610999.999999996</v>
      </c>
      <c r="J69" s="24">
        <f t="shared" ref="J69:R69" si="51">J16*($H$69*(1+0.02*(J2-2024)))</f>
        <v>0</v>
      </c>
      <c r="K69" s="24">
        <f t="shared" si="51"/>
        <v>0</v>
      </c>
      <c r="L69" s="24">
        <f t="shared" si="51"/>
        <v>0</v>
      </c>
      <c r="M69" s="24">
        <f t="shared" si="51"/>
        <v>0</v>
      </c>
      <c r="N69" s="24">
        <f t="shared" si="51"/>
        <v>0</v>
      </c>
      <c r="O69" s="24">
        <f t="shared" si="51"/>
        <v>0</v>
      </c>
      <c r="P69" s="24">
        <f t="shared" si="51"/>
        <v>0</v>
      </c>
      <c r="Q69" s="24">
        <f t="shared" si="51"/>
        <v>0</v>
      </c>
      <c r="R69" s="24">
        <f t="shared" si="51"/>
        <v>0</v>
      </c>
      <c r="S69" s="23"/>
    </row>
    <row r="70" spans="1:19" x14ac:dyDescent="0.2">
      <c r="A70" s="23" t="s">
        <v>20</v>
      </c>
      <c r="B70" s="23"/>
      <c r="C70" s="23"/>
      <c r="D70" s="23"/>
      <c r="E70" s="23"/>
      <c r="F70" s="23"/>
      <c r="G70" s="23"/>
      <c r="H70" s="24">
        <f>H50</f>
        <v>171</v>
      </c>
      <c r="I70" s="24">
        <f t="shared" ref="I70:R70" si="52">I17*($H$70*(1+0.02*(I2-2024)))</f>
        <v>8401054.6045327485</v>
      </c>
      <c r="J70" s="24">
        <f t="shared" si="52"/>
        <v>82923898.035908699</v>
      </c>
      <c r="K70" s="24">
        <f t="shared" si="52"/>
        <v>81371324.181691423</v>
      </c>
      <c r="L70" s="24">
        <f t="shared" si="52"/>
        <v>79710801.568372741</v>
      </c>
      <c r="M70" s="24">
        <f t="shared" si="52"/>
        <v>77944042.460742533</v>
      </c>
      <c r="N70" s="24">
        <f t="shared" si="52"/>
        <v>76072791.545046955</v>
      </c>
      <c r="O70" s="24">
        <f t="shared" si="52"/>
        <v>74098822.299900174</v>
      </c>
      <c r="P70" s="24">
        <f t="shared" si="52"/>
        <v>72023933.545044661</v>
      </c>
      <c r="Q70" s="24">
        <f t="shared" si="52"/>
        <v>69849946.161058813</v>
      </c>
      <c r="R70" s="24">
        <f t="shared" si="52"/>
        <v>67578699.973350227</v>
      </c>
      <c r="S70" s="23"/>
    </row>
    <row r="71" spans="1:19" x14ac:dyDescent="0.2">
      <c r="A71" s="22" t="s">
        <v>21</v>
      </c>
      <c r="B71" s="22"/>
      <c r="C71" s="22"/>
      <c r="D71" s="22"/>
      <c r="E71" s="22"/>
      <c r="F71" s="22"/>
      <c r="G71" s="22"/>
      <c r="H71" s="22"/>
      <c r="I71" s="26">
        <f>SUM(I68:I70)</f>
        <v>76420412.968138665</v>
      </c>
      <c r="J71" s="26">
        <f t="shared" ref="J71:R71" si="53">SUM(J68:J70)</f>
        <v>123343776.78130457</v>
      </c>
      <c r="K71" s="26">
        <f t="shared" si="53"/>
        <v>122806390.70177123</v>
      </c>
      <c r="L71" s="26">
        <f t="shared" si="53"/>
        <v>122164528.01510268</v>
      </c>
      <c r="M71" s="26">
        <f t="shared" si="53"/>
        <v>121419712.76986277</v>
      </c>
      <c r="N71" s="26">
        <f t="shared" si="53"/>
        <v>120573508.24129325</v>
      </c>
      <c r="O71" s="26">
        <f t="shared" si="53"/>
        <v>119627513.08911699</v>
      </c>
      <c r="P71" s="26">
        <f t="shared" si="53"/>
        <v>118583357.69938433</v>
      </c>
      <c r="Q71" s="26">
        <f t="shared" si="53"/>
        <v>117442700.70328943</v>
      </c>
      <c r="R71" s="26">
        <f t="shared" si="53"/>
        <v>116207225.66612759</v>
      </c>
      <c r="S71" s="34" t="s">
        <v>22</v>
      </c>
    </row>
    <row r="72" spans="1:19" x14ac:dyDescent="0.2">
      <c r="A72" s="22" t="s">
        <v>25</v>
      </c>
      <c r="J72" s="23"/>
      <c r="K72" s="23"/>
      <c r="L72" s="23"/>
      <c r="M72" s="23"/>
      <c r="N72" s="23"/>
      <c r="O72" s="23"/>
      <c r="P72" s="23"/>
      <c r="Q72" s="23"/>
      <c r="S72" s="26">
        <f>SUM(I71:R71)</f>
        <v>1158589126.6353915</v>
      </c>
    </row>
    <row r="73" spans="1:19" x14ac:dyDescent="0.2">
      <c r="A73" s="23" t="s">
        <v>81</v>
      </c>
      <c r="B73" s="23"/>
      <c r="C73" s="23"/>
      <c r="D73" s="23"/>
      <c r="E73" s="23"/>
      <c r="F73" s="23">
        <v>0</v>
      </c>
      <c r="G73" s="23"/>
      <c r="H73" s="23"/>
      <c r="I73" s="27">
        <f>F73/20</f>
        <v>0</v>
      </c>
      <c r="J73" s="27">
        <f>I73</f>
        <v>0</v>
      </c>
      <c r="K73" s="27">
        <f t="shared" ref="K73:R73" si="54">J73</f>
        <v>0</v>
      </c>
      <c r="L73" s="27">
        <f t="shared" si="54"/>
        <v>0</v>
      </c>
      <c r="M73" s="27">
        <f t="shared" si="54"/>
        <v>0</v>
      </c>
      <c r="N73" s="27">
        <f t="shared" si="54"/>
        <v>0</v>
      </c>
      <c r="O73" s="27">
        <f t="shared" si="54"/>
        <v>0</v>
      </c>
      <c r="P73" s="27">
        <f t="shared" si="54"/>
        <v>0</v>
      </c>
      <c r="Q73" s="27">
        <f t="shared" si="54"/>
        <v>0</v>
      </c>
      <c r="R73" s="27">
        <f t="shared" si="54"/>
        <v>0</v>
      </c>
      <c r="S73" s="23"/>
    </row>
    <row r="74" spans="1:19" x14ac:dyDescent="0.2">
      <c r="A74" s="22" t="s">
        <v>24</v>
      </c>
      <c r="B74" s="23"/>
      <c r="C74" s="23"/>
      <c r="D74" s="23"/>
      <c r="E74" s="23"/>
      <c r="F74" s="23"/>
      <c r="G74" s="23"/>
      <c r="H74" s="23"/>
      <c r="I74" s="28">
        <f>SUM(I73+I71)</f>
        <v>76420412.968138665</v>
      </c>
      <c r="J74" s="28">
        <f t="shared" ref="J74:R74" si="55">SUM(J73+J71)</f>
        <v>123343776.78130457</v>
      </c>
      <c r="K74" s="28">
        <f t="shared" si="55"/>
        <v>122806390.70177123</v>
      </c>
      <c r="L74" s="28">
        <f t="shared" si="55"/>
        <v>122164528.01510268</v>
      </c>
      <c r="M74" s="28">
        <f t="shared" si="55"/>
        <v>121419712.76986277</v>
      </c>
      <c r="N74" s="28">
        <f t="shared" si="55"/>
        <v>120573508.24129325</v>
      </c>
      <c r="O74" s="28">
        <f t="shared" si="55"/>
        <v>119627513.08911699</v>
      </c>
      <c r="P74" s="28">
        <f t="shared" si="55"/>
        <v>118583357.69938433</v>
      </c>
      <c r="Q74" s="28">
        <f t="shared" si="55"/>
        <v>117442700.70328943</v>
      </c>
      <c r="R74" s="28">
        <f t="shared" si="55"/>
        <v>116207225.66612759</v>
      </c>
    </row>
    <row r="75" spans="1:19" x14ac:dyDescent="0.2">
      <c r="A75" s="15" t="s">
        <v>26</v>
      </c>
      <c r="S75" s="26">
        <f>SUM(I74:R74)</f>
        <v>1158589126.6353915</v>
      </c>
    </row>
    <row r="76" spans="1:19" x14ac:dyDescent="0.2">
      <c r="A76" s="15"/>
      <c r="R76" s="26"/>
    </row>
    <row r="77" spans="1:19" x14ac:dyDescent="0.2">
      <c r="A77" s="22" t="s">
        <v>29</v>
      </c>
      <c r="B77" s="22"/>
      <c r="C77" s="22"/>
      <c r="D77" s="23"/>
      <c r="E77" s="23"/>
      <c r="F77" s="23"/>
      <c r="G77" s="23"/>
      <c r="H77" s="23" t="s">
        <v>28</v>
      </c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</row>
    <row r="78" spans="1:19" x14ac:dyDescent="0.2">
      <c r="A78" s="23" t="s">
        <v>19</v>
      </c>
      <c r="B78" s="23"/>
      <c r="C78" s="23"/>
      <c r="D78" s="23"/>
      <c r="E78" s="23"/>
      <c r="F78" s="23"/>
      <c r="G78" s="23"/>
      <c r="H78" s="24">
        <f>H57</f>
        <v>47.643125769627581</v>
      </c>
      <c r="I78" s="24">
        <f t="shared" ref="I78:R78" si="56">I15*($H$57*(1+0.02*(I2-2022)))</f>
        <v>30443560.01298666</v>
      </c>
      <c r="J78" s="24">
        <f t="shared" si="56"/>
        <v>31203948.070879508</v>
      </c>
      <c r="K78" s="24">
        <f t="shared" si="56"/>
        <v>31966896.838885136</v>
      </c>
      <c r="L78" s="24">
        <f t="shared" si="56"/>
        <v>32732264.858390987</v>
      </c>
      <c r="M78" s="24">
        <f t="shared" si="56"/>
        <v>33499915.81110758</v>
      </c>
      <c r="N78" s="24">
        <f t="shared" si="56"/>
        <v>34269718.357723519</v>
      </c>
      <c r="O78" s="24">
        <f t="shared" si="56"/>
        <v>35041545.98125679</v>
      </c>
      <c r="P78" s="24">
        <f t="shared" si="56"/>
        <v>35815276.834971808</v>
      </c>
      <c r="Q78" s="24">
        <f t="shared" si="56"/>
        <v>36590793.594735138</v>
      </c>
      <c r="R78" s="24">
        <f t="shared" si="56"/>
        <v>37367983.31568642</v>
      </c>
      <c r="S78" s="23"/>
    </row>
    <row r="79" spans="1:19" x14ac:dyDescent="0.2">
      <c r="A79" s="23" t="s">
        <v>74</v>
      </c>
      <c r="B79" s="23"/>
      <c r="C79" s="23"/>
      <c r="D79" s="23"/>
      <c r="E79" s="23"/>
      <c r="F79" s="23"/>
      <c r="G79" s="23"/>
      <c r="H79" s="24">
        <f>H58</f>
        <v>78.280771161677052</v>
      </c>
      <c r="I79" s="24">
        <f>I16*($H$58*(1+0.05*(I2-2022)))</f>
        <v>24462740.988024082</v>
      </c>
      <c r="J79" s="24">
        <f t="shared" ref="J79:R79" si="57">J16*($H$58*(1+0.05*(J2-2022)))</f>
        <v>0</v>
      </c>
      <c r="K79" s="24">
        <f t="shared" si="57"/>
        <v>0</v>
      </c>
      <c r="L79" s="24">
        <f t="shared" si="57"/>
        <v>0</v>
      </c>
      <c r="M79" s="24">
        <f t="shared" si="57"/>
        <v>0</v>
      </c>
      <c r="N79" s="24">
        <f t="shared" si="57"/>
        <v>0</v>
      </c>
      <c r="O79" s="24">
        <f t="shared" si="57"/>
        <v>0</v>
      </c>
      <c r="P79" s="24">
        <f t="shared" si="57"/>
        <v>0</v>
      </c>
      <c r="Q79" s="24">
        <f t="shared" si="57"/>
        <v>0</v>
      </c>
      <c r="R79" s="24">
        <f t="shared" si="57"/>
        <v>0</v>
      </c>
      <c r="S79" s="23"/>
    </row>
    <row r="80" spans="1:19" x14ac:dyDescent="0.2">
      <c r="A80" s="23" t="s">
        <v>20</v>
      </c>
      <c r="B80" s="23"/>
      <c r="C80" s="23"/>
      <c r="D80" s="23"/>
      <c r="E80" s="23"/>
      <c r="F80" s="23"/>
      <c r="G80" s="23"/>
      <c r="H80" s="24">
        <f>H59</f>
        <v>117.41999999999999</v>
      </c>
      <c r="I80" s="24">
        <f t="shared" ref="I80:R80" si="58">I17*($H$59*(1+0.02*(I2-2022)))</f>
        <v>5986411.8659972344</v>
      </c>
      <c r="J80" s="24">
        <f t="shared" si="58"/>
        <v>59050005.416187815</v>
      </c>
      <c r="K80" s="24">
        <f t="shared" si="58"/>
        <v>57906793.244934581</v>
      </c>
      <c r="L80" s="24">
        <f t="shared" si="58"/>
        <v>56689562.924935549</v>
      </c>
      <c r="M80" s="24">
        <f t="shared" si="58"/>
        <v>55399525.851921894</v>
      </c>
      <c r="N80" s="24">
        <f t="shared" si="58"/>
        <v>54037913.994067825</v>
      </c>
      <c r="O80" s="24">
        <f t="shared" si="58"/>
        <v>52605977.458787881</v>
      </c>
      <c r="P80" s="24">
        <f t="shared" si="58"/>
        <v>51104982.179850571</v>
      </c>
      <c r="Q80" s="24">
        <f t="shared" si="58"/>
        <v>49536207.720121376</v>
      </c>
      <c r="R80" s="24">
        <f t="shared" si="58"/>
        <v>47900945.185411252</v>
      </c>
      <c r="S80" s="23"/>
    </row>
    <row r="81" spans="1:19" x14ac:dyDescent="0.2">
      <c r="A81" s="22" t="s">
        <v>21</v>
      </c>
      <c r="B81" s="22"/>
      <c r="C81" s="22"/>
      <c r="D81" s="22"/>
      <c r="E81" s="22"/>
      <c r="F81" s="22"/>
      <c r="G81" s="22"/>
      <c r="H81" s="22"/>
      <c r="I81" s="26">
        <f>SUM(I78:I80)</f>
        <v>60892712.867007978</v>
      </c>
      <c r="J81" s="26">
        <f t="shared" ref="J81:R81" si="59">SUM(J78:J80)</f>
        <v>90253953.487067327</v>
      </c>
      <c r="K81" s="26">
        <f t="shared" si="59"/>
        <v>89873690.083819717</v>
      </c>
      <c r="L81" s="26">
        <f t="shared" si="59"/>
        <v>89421827.783326536</v>
      </c>
      <c r="M81" s="26">
        <f t="shared" si="59"/>
        <v>88899441.663029477</v>
      </c>
      <c r="N81" s="26">
        <f t="shared" si="59"/>
        <v>88307632.351791352</v>
      </c>
      <c r="O81" s="26">
        <f t="shared" si="59"/>
        <v>87647523.440044671</v>
      </c>
      <c r="P81" s="26">
        <f t="shared" si="59"/>
        <v>86920259.014822379</v>
      </c>
      <c r="Q81" s="26">
        <f t="shared" si="59"/>
        <v>86127001.314856514</v>
      </c>
      <c r="R81" s="26">
        <f t="shared" si="59"/>
        <v>85268928.501097679</v>
      </c>
      <c r="S81" s="34" t="s">
        <v>22</v>
      </c>
    </row>
    <row r="82" spans="1:19" x14ac:dyDescent="0.2">
      <c r="A82" s="22" t="s">
        <v>25</v>
      </c>
      <c r="J82" s="23"/>
      <c r="K82" s="23"/>
      <c r="L82" s="23"/>
      <c r="M82" s="23"/>
      <c r="N82" s="23"/>
      <c r="O82" s="23"/>
      <c r="P82" s="23"/>
      <c r="Q82" s="23"/>
      <c r="S82" s="26">
        <f>SUM(I81:R81)</f>
        <v>853612970.50686359</v>
      </c>
    </row>
    <row r="83" spans="1:19" x14ac:dyDescent="0.2">
      <c r="A83" s="23" t="s">
        <v>81</v>
      </c>
      <c r="B83" s="23"/>
      <c r="C83" s="23"/>
      <c r="D83" s="23"/>
      <c r="E83" s="23"/>
      <c r="F83" s="23">
        <v>0</v>
      </c>
      <c r="G83" s="23"/>
      <c r="H83" s="23"/>
      <c r="I83" s="27">
        <f>F83/20</f>
        <v>0</v>
      </c>
      <c r="J83" s="27">
        <f>I83</f>
        <v>0</v>
      </c>
      <c r="K83" s="27">
        <f t="shared" ref="K83:R83" si="60">J83</f>
        <v>0</v>
      </c>
      <c r="L83" s="27">
        <f t="shared" si="60"/>
        <v>0</v>
      </c>
      <c r="M83" s="27">
        <f t="shared" si="60"/>
        <v>0</v>
      </c>
      <c r="N83" s="27">
        <f t="shared" si="60"/>
        <v>0</v>
      </c>
      <c r="O83" s="27">
        <f t="shared" si="60"/>
        <v>0</v>
      </c>
      <c r="P83" s="27">
        <f t="shared" si="60"/>
        <v>0</v>
      </c>
      <c r="Q83" s="27">
        <f t="shared" si="60"/>
        <v>0</v>
      </c>
      <c r="R83" s="27">
        <f t="shared" si="60"/>
        <v>0</v>
      </c>
      <c r="S83" s="23"/>
    </row>
    <row r="84" spans="1:19" x14ac:dyDescent="0.2">
      <c r="A84" s="22" t="s">
        <v>24</v>
      </c>
      <c r="B84" s="23"/>
      <c r="C84" s="23"/>
      <c r="D84" s="23"/>
      <c r="E84" s="23"/>
      <c r="F84" s="23"/>
      <c r="G84" s="23"/>
      <c r="H84" s="23"/>
      <c r="I84" s="28">
        <f>SUM(I83+I81)</f>
        <v>60892712.867007978</v>
      </c>
      <c r="J84" s="28">
        <f t="shared" ref="J84:R84" si="61">SUM(J83+J81)</f>
        <v>90253953.487067327</v>
      </c>
      <c r="K84" s="28">
        <f t="shared" si="61"/>
        <v>89873690.083819717</v>
      </c>
      <c r="L84" s="28">
        <f t="shared" si="61"/>
        <v>89421827.783326536</v>
      </c>
      <c r="M84" s="28">
        <f t="shared" si="61"/>
        <v>88899441.663029477</v>
      </c>
      <c r="N84" s="28">
        <f t="shared" si="61"/>
        <v>88307632.351791352</v>
      </c>
      <c r="O84" s="28">
        <f t="shared" si="61"/>
        <v>87647523.440044671</v>
      </c>
      <c r="P84" s="28">
        <f t="shared" si="61"/>
        <v>86920259.014822379</v>
      </c>
      <c r="Q84" s="28">
        <f t="shared" si="61"/>
        <v>86127001.314856514</v>
      </c>
      <c r="R84" s="28">
        <f t="shared" si="61"/>
        <v>85268928.501097679</v>
      </c>
    </row>
    <row r="85" spans="1:19" x14ac:dyDescent="0.2">
      <c r="A85" s="15" t="s">
        <v>26</v>
      </c>
      <c r="S85" s="26">
        <f>SUM(I84:R84)</f>
        <v>853612970.50686359</v>
      </c>
    </row>
    <row r="86" spans="1:19" s="41" customFormat="1" x14ac:dyDescent="0.2"/>
    <row r="87" spans="1:19" x14ac:dyDescent="0.2">
      <c r="A87" s="15" t="s">
        <v>15</v>
      </c>
    </row>
    <row r="88" spans="1:19" x14ac:dyDescent="0.2">
      <c r="A88" s="22" t="s">
        <v>33</v>
      </c>
      <c r="B88" s="22"/>
      <c r="C88" s="22"/>
      <c r="D88" s="23"/>
      <c r="E88" s="23"/>
      <c r="F88" s="23"/>
      <c r="G88" s="23"/>
      <c r="H88" s="23" t="s">
        <v>18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</row>
    <row r="89" spans="1:19" x14ac:dyDescent="0.2">
      <c r="A89" s="23" t="s">
        <v>19</v>
      </c>
      <c r="B89" s="23"/>
      <c r="C89" s="23"/>
      <c r="D89" s="23"/>
      <c r="E89" s="23"/>
      <c r="F89" s="23"/>
      <c r="G89" s="23"/>
      <c r="H89" s="24">
        <f>H48</f>
        <v>64</v>
      </c>
      <c r="I89" s="24">
        <f t="shared" ref="I89:R89" si="62">I25*($H$89*(1+0.02*(I2-2024)))</f>
        <v>39408358.363605917</v>
      </c>
      <c r="J89" s="24">
        <f t="shared" si="62"/>
        <v>40736316.680244975</v>
      </c>
      <c r="K89" s="24">
        <f t="shared" si="62"/>
        <v>42056158.269311115</v>
      </c>
      <c r="L89" s="24">
        <f t="shared" si="62"/>
        <v>43367774.907770023</v>
      </c>
      <c r="M89" s="24">
        <f t="shared" si="62"/>
        <v>44671089.486709759</v>
      </c>
      <c r="N89" s="24">
        <f t="shared" si="62"/>
        <v>45966053.1704861</v>
      </c>
      <c r="O89" s="24">
        <f t="shared" si="62"/>
        <v>47252642.762168035</v>
      </c>
      <c r="P89" s="24">
        <f t="shared" si="62"/>
        <v>48530858.261755556</v>
      </c>
      <c r="Q89" s="24">
        <f t="shared" si="62"/>
        <v>47144782.234460779</v>
      </c>
      <c r="R89" s="24">
        <f t="shared" si="62"/>
        <v>45576102.167339653</v>
      </c>
      <c r="S89" s="23"/>
    </row>
    <row r="90" spans="1:19" x14ac:dyDescent="0.2">
      <c r="A90" s="23" t="s">
        <v>74</v>
      </c>
      <c r="B90" s="23"/>
      <c r="C90" s="23"/>
      <c r="D90" s="23"/>
      <c r="E90" s="23"/>
      <c r="F90" s="23"/>
      <c r="G90" s="23"/>
      <c r="H90" s="24">
        <f>H49</f>
        <v>99</v>
      </c>
      <c r="I90" s="24">
        <f>I26*($H$90*(1+0.05*(I2-2024)))</f>
        <v>28462500</v>
      </c>
      <c r="J90" s="24">
        <f t="shared" ref="J90:R90" si="63">J26*($H$90*(1+0.05*(J2-2024)))</f>
        <v>0</v>
      </c>
      <c r="K90" s="24">
        <f t="shared" si="63"/>
        <v>0</v>
      </c>
      <c r="L90" s="24">
        <f t="shared" si="63"/>
        <v>0</v>
      </c>
      <c r="M90" s="24">
        <f t="shared" si="63"/>
        <v>0</v>
      </c>
      <c r="N90" s="24">
        <f t="shared" si="63"/>
        <v>0</v>
      </c>
      <c r="O90" s="24">
        <f t="shared" si="63"/>
        <v>0</v>
      </c>
      <c r="P90" s="24">
        <f t="shared" si="63"/>
        <v>0</v>
      </c>
      <c r="Q90" s="24">
        <f t="shared" si="63"/>
        <v>0</v>
      </c>
      <c r="R90" s="24">
        <f t="shared" si="63"/>
        <v>0</v>
      </c>
      <c r="S90" s="23"/>
    </row>
    <row r="91" spans="1:19" x14ac:dyDescent="0.2">
      <c r="A91" s="23" t="s">
        <v>20</v>
      </c>
      <c r="B91" s="23"/>
      <c r="C91" s="23"/>
      <c r="D91" s="23"/>
      <c r="E91" s="23"/>
      <c r="F91" s="23"/>
      <c r="G91" s="23"/>
      <c r="H91" s="24">
        <f>H50</f>
        <v>171</v>
      </c>
      <c r="I91" s="24">
        <f t="shared" ref="I91:R91" si="64">I27*($H$91*(1+0.02*(I2-2024)))</f>
        <v>8401054.6045327485</v>
      </c>
      <c r="J91" s="24">
        <f t="shared" si="64"/>
        <v>46148295.171889678</v>
      </c>
      <c r="K91" s="24">
        <f t="shared" si="64"/>
        <v>38555336.469656296</v>
      </c>
      <c r="L91" s="24">
        <f t="shared" si="64"/>
        <v>30945593.027190391</v>
      </c>
      <c r="M91" s="24">
        <f t="shared" si="64"/>
        <v>23326950.308897108</v>
      </c>
      <c r="N91" s="24">
        <f t="shared" si="64"/>
        <v>15706784.114910368</v>
      </c>
      <c r="O91" s="24">
        <f t="shared" si="64"/>
        <v>8091979.9878429631</v>
      </c>
      <c r="P91" s="24">
        <f t="shared" si="64"/>
        <v>488952.54532326339</v>
      </c>
      <c r="Q91" s="24">
        <f t="shared" si="64"/>
        <v>0</v>
      </c>
      <c r="R91" s="24">
        <f t="shared" si="64"/>
        <v>0</v>
      </c>
      <c r="S91" s="23" t="s">
        <v>35</v>
      </c>
    </row>
    <row r="92" spans="1:19" x14ac:dyDescent="0.2">
      <c r="A92" s="22" t="s">
        <v>21</v>
      </c>
      <c r="B92" s="22"/>
      <c r="C92" s="22"/>
      <c r="D92" s="22"/>
      <c r="E92" s="22"/>
      <c r="F92" s="22"/>
      <c r="G92" s="22"/>
      <c r="H92" s="22"/>
      <c r="I92" s="26">
        <f>SUM(I89:I91)</f>
        <v>76271912.968138665</v>
      </c>
      <c r="J92" s="26">
        <f t="shared" ref="J92:R92" si="65">SUM(J89:J91)</f>
        <v>86884611.852134645</v>
      </c>
      <c r="K92" s="26">
        <f t="shared" si="65"/>
        <v>80611494.738967419</v>
      </c>
      <c r="L92" s="26">
        <f t="shared" si="65"/>
        <v>74313367.93496041</v>
      </c>
      <c r="M92" s="26">
        <f t="shared" si="65"/>
        <v>67998039.795606866</v>
      </c>
      <c r="N92" s="26">
        <f t="shared" si="65"/>
        <v>61672837.285396472</v>
      </c>
      <c r="O92" s="26">
        <f t="shared" si="65"/>
        <v>55344622.750010997</v>
      </c>
      <c r="P92" s="26">
        <f t="shared" si="65"/>
        <v>49019810.807078816</v>
      </c>
      <c r="Q92" s="26">
        <f t="shared" si="65"/>
        <v>47144782.234460779</v>
      </c>
      <c r="R92" s="26">
        <f t="shared" si="65"/>
        <v>45576102.167339653</v>
      </c>
      <c r="S92" s="34" t="s">
        <v>22</v>
      </c>
    </row>
    <row r="93" spans="1:19" x14ac:dyDescent="0.2">
      <c r="A93" s="22" t="s">
        <v>25</v>
      </c>
      <c r="J93" s="23"/>
      <c r="K93" s="23"/>
      <c r="L93" s="23"/>
      <c r="M93" s="23"/>
      <c r="N93" s="23"/>
      <c r="O93" s="23"/>
      <c r="P93" s="23"/>
      <c r="Q93" s="23"/>
      <c r="S93" s="26">
        <f>SUM(I92:R92)</f>
        <v>644837582.53409481</v>
      </c>
    </row>
    <row r="94" spans="1:19" x14ac:dyDescent="0.2">
      <c r="A94" s="23" t="s">
        <v>81</v>
      </c>
      <c r="B94" s="23"/>
      <c r="C94" s="23"/>
      <c r="D94" s="23"/>
      <c r="E94" s="23"/>
      <c r="F94" s="23">
        <v>0</v>
      </c>
      <c r="G94" s="23"/>
      <c r="H94" s="23"/>
      <c r="I94" s="27">
        <f>F94/20</f>
        <v>0</v>
      </c>
      <c r="J94" s="27">
        <f>I94</f>
        <v>0</v>
      </c>
      <c r="K94" s="27">
        <f t="shared" ref="K94:R94" si="66">J94</f>
        <v>0</v>
      </c>
      <c r="L94" s="27">
        <f t="shared" si="66"/>
        <v>0</v>
      </c>
      <c r="M94" s="27">
        <f t="shared" si="66"/>
        <v>0</v>
      </c>
      <c r="N94" s="27">
        <f t="shared" si="66"/>
        <v>0</v>
      </c>
      <c r="O94" s="27">
        <f t="shared" si="66"/>
        <v>0</v>
      </c>
      <c r="P94" s="27">
        <f t="shared" si="66"/>
        <v>0</v>
      </c>
      <c r="Q94" s="27">
        <f t="shared" si="66"/>
        <v>0</v>
      </c>
      <c r="R94" s="27">
        <f t="shared" si="66"/>
        <v>0</v>
      </c>
      <c r="S94" s="23"/>
    </row>
    <row r="95" spans="1:19" x14ac:dyDescent="0.2">
      <c r="A95" s="22" t="s">
        <v>24</v>
      </c>
      <c r="B95" s="23"/>
      <c r="C95" s="23"/>
      <c r="D95" s="23"/>
      <c r="E95" s="23"/>
      <c r="F95" s="23"/>
      <c r="G95" s="23"/>
      <c r="H95" s="23"/>
      <c r="I95" s="28">
        <f>SUM(I94+I92)</f>
        <v>76271912.968138665</v>
      </c>
      <c r="J95" s="28">
        <f t="shared" ref="J95:R95" si="67">SUM(J94+J92)</f>
        <v>86884611.852134645</v>
      </c>
      <c r="K95" s="28">
        <f t="shared" si="67"/>
        <v>80611494.738967419</v>
      </c>
      <c r="L95" s="28">
        <f t="shared" si="67"/>
        <v>74313367.93496041</v>
      </c>
      <c r="M95" s="28">
        <f t="shared" si="67"/>
        <v>67998039.795606866</v>
      </c>
      <c r="N95" s="28">
        <f t="shared" si="67"/>
        <v>61672837.285396472</v>
      </c>
      <c r="O95" s="28">
        <f t="shared" si="67"/>
        <v>55344622.750010997</v>
      </c>
      <c r="P95" s="28">
        <f t="shared" si="67"/>
        <v>49019810.807078816</v>
      </c>
      <c r="Q95" s="28">
        <f t="shared" si="67"/>
        <v>47144782.234460779</v>
      </c>
      <c r="R95" s="28">
        <f t="shared" si="67"/>
        <v>45576102.167339653</v>
      </c>
    </row>
    <row r="96" spans="1:19" x14ac:dyDescent="0.2">
      <c r="A96" s="15" t="s">
        <v>26</v>
      </c>
      <c r="S96" s="26">
        <f>SUM(I95:R95)</f>
        <v>644837582.53409481</v>
      </c>
    </row>
    <row r="97" spans="1:19" x14ac:dyDescent="0.2">
      <c r="A97" s="15"/>
      <c r="R97" s="26"/>
    </row>
    <row r="98" spans="1:19" x14ac:dyDescent="0.2">
      <c r="A98" s="22" t="s">
        <v>34</v>
      </c>
      <c r="B98" s="22"/>
      <c r="C98" s="22"/>
      <c r="D98" s="23"/>
      <c r="E98" s="23"/>
      <c r="F98" s="23"/>
      <c r="G98" s="23"/>
      <c r="H98" s="23" t="s">
        <v>28</v>
      </c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</row>
    <row r="99" spans="1:19" x14ac:dyDescent="0.2">
      <c r="A99" s="23" t="s">
        <v>19</v>
      </c>
      <c r="B99" s="23"/>
      <c r="C99" s="23"/>
      <c r="D99" s="23"/>
      <c r="E99" s="23"/>
      <c r="F99" s="23"/>
      <c r="G99" s="23"/>
      <c r="H99" s="24">
        <f>H78</f>
        <v>47.643125769627581</v>
      </c>
      <c r="I99" s="24">
        <f t="shared" ref="I99:R99" si="68">I25*($H$57*(1+0.02*(I2-2022)))</f>
        <v>30443560.01298666</v>
      </c>
      <c r="J99" s="24">
        <f t="shared" si="68"/>
        <v>31448236.603976905</v>
      </c>
      <c r="K99" s="24">
        <f t="shared" si="68"/>
        <v>32446065.271389965</v>
      </c>
      <c r="L99" s="24">
        <f t="shared" si="68"/>
        <v>33437005.733322427</v>
      </c>
      <c r="M99" s="24">
        <f t="shared" si="68"/>
        <v>34421038.855870195</v>
      </c>
      <c r="N99" s="24">
        <f t="shared" si="68"/>
        <v>35398164.639033265</v>
      </c>
      <c r="O99" s="24">
        <f t="shared" si="68"/>
        <v>36368400.351160087</v>
      </c>
      <c r="P99" s="24">
        <f t="shared" si="68"/>
        <v>37331778.802112751</v>
      </c>
      <c r="Q99" s="24">
        <f t="shared" si="68"/>
        <v>36246378.517116159</v>
      </c>
      <c r="R99" s="24">
        <f t="shared" si="68"/>
        <v>35022386.574967086</v>
      </c>
      <c r="S99" s="23"/>
    </row>
    <row r="100" spans="1:19" x14ac:dyDescent="0.2">
      <c r="A100" s="23" t="s">
        <v>74</v>
      </c>
      <c r="B100" s="23"/>
      <c r="C100" s="23"/>
      <c r="D100" s="23"/>
      <c r="E100" s="23"/>
      <c r="F100" s="23"/>
      <c r="G100" s="23"/>
      <c r="H100" s="24">
        <f>H79</f>
        <v>78.280771161677052</v>
      </c>
      <c r="I100" s="24">
        <f>I26*($H$58*(1+0.05*(I2-2022)))</f>
        <v>24462740.988024082</v>
      </c>
      <c r="J100" s="24">
        <f t="shared" ref="J100:R100" si="69">J26*($H$58*(1+0.05*(J2-2022)))</f>
        <v>0</v>
      </c>
      <c r="K100" s="24">
        <f t="shared" si="69"/>
        <v>0</v>
      </c>
      <c r="L100" s="24">
        <f t="shared" si="69"/>
        <v>0</v>
      </c>
      <c r="M100" s="24">
        <f t="shared" si="69"/>
        <v>0</v>
      </c>
      <c r="N100" s="24">
        <f t="shared" si="69"/>
        <v>0</v>
      </c>
      <c r="O100" s="24">
        <f t="shared" si="69"/>
        <v>0</v>
      </c>
      <c r="P100" s="24">
        <f t="shared" si="69"/>
        <v>0</v>
      </c>
      <c r="Q100" s="24">
        <f t="shared" si="69"/>
        <v>0</v>
      </c>
      <c r="R100" s="24">
        <f t="shared" si="69"/>
        <v>0</v>
      </c>
      <c r="S100" s="23"/>
    </row>
    <row r="101" spans="1:19" x14ac:dyDescent="0.2">
      <c r="A101" s="23" t="s">
        <v>20</v>
      </c>
      <c r="B101" s="23"/>
      <c r="C101" s="23"/>
      <c r="D101" s="23"/>
      <c r="E101" s="23"/>
      <c r="F101" s="23"/>
      <c r="G101" s="23"/>
      <c r="H101" s="24">
        <f>H80</f>
        <v>117.41999999999999</v>
      </c>
      <c r="I101" s="24">
        <f t="shared" ref="I101:R101" si="70">I27*($H$59*(1+0.02*(I2-2022)))</f>
        <v>5986411.8659972344</v>
      </c>
      <c r="J101" s="24">
        <f t="shared" si="70"/>
        <v>32862144.018698722</v>
      </c>
      <c r="K101" s="24">
        <f t="shared" si="70"/>
        <v>27437379.444042675</v>
      </c>
      <c r="L101" s="24">
        <f t="shared" si="70"/>
        <v>22008211.041004211</v>
      </c>
      <c r="M101" s="24">
        <f t="shared" si="70"/>
        <v>16579868.658148266</v>
      </c>
      <c r="N101" s="24">
        <f t="shared" si="70"/>
        <v>11157232.854039777</v>
      </c>
      <c r="O101" s="24">
        <f t="shared" si="70"/>
        <v>5744848.6173578911</v>
      </c>
      <c r="P101" s="24">
        <f t="shared" si="70"/>
        <v>346938.99493715109</v>
      </c>
      <c r="Q101" s="24">
        <f t="shared" si="70"/>
        <v>0</v>
      </c>
      <c r="R101" s="24">
        <f t="shared" si="70"/>
        <v>0</v>
      </c>
      <c r="S101" s="23" t="s">
        <v>36</v>
      </c>
    </row>
    <row r="102" spans="1:19" x14ac:dyDescent="0.2">
      <c r="A102" s="22" t="s">
        <v>21</v>
      </c>
      <c r="B102" s="22"/>
      <c r="C102" s="22"/>
      <c r="D102" s="22"/>
      <c r="E102" s="22"/>
      <c r="F102" s="22"/>
      <c r="G102" s="22"/>
      <c r="H102" s="22"/>
      <c r="I102" s="26">
        <f>SUM(I99:I101)</f>
        <v>60892712.867007978</v>
      </c>
      <c r="J102" s="26">
        <f t="shared" ref="J102:R102" si="71">SUM(J99:J101)</f>
        <v>64310380.622675627</v>
      </c>
      <c r="K102" s="26">
        <f t="shared" si="71"/>
        <v>59883444.715432644</v>
      </c>
      <c r="L102" s="26">
        <f t="shared" si="71"/>
        <v>55445216.774326637</v>
      </c>
      <c r="M102" s="26">
        <f t="shared" si="71"/>
        <v>51000907.514018461</v>
      </c>
      <c r="N102" s="26">
        <f t="shared" si="71"/>
        <v>46555397.493073046</v>
      </c>
      <c r="O102" s="26">
        <f t="shared" si="71"/>
        <v>42113248.968517974</v>
      </c>
      <c r="P102" s="26">
        <f t="shared" si="71"/>
        <v>37678717.797049902</v>
      </c>
      <c r="Q102" s="26">
        <f t="shared" si="71"/>
        <v>36246378.517116159</v>
      </c>
      <c r="R102" s="26">
        <f t="shared" si="71"/>
        <v>35022386.574967086</v>
      </c>
      <c r="S102" s="34" t="s">
        <v>22</v>
      </c>
    </row>
    <row r="103" spans="1:19" x14ac:dyDescent="0.2">
      <c r="A103" s="22" t="s">
        <v>25</v>
      </c>
      <c r="J103" s="23"/>
      <c r="K103" s="23"/>
      <c r="L103" s="23"/>
      <c r="M103" s="23"/>
      <c r="N103" s="23"/>
      <c r="O103" s="23"/>
      <c r="P103" s="23"/>
      <c r="Q103" s="23"/>
      <c r="S103" s="26">
        <f>SUM(I102:R102)</f>
        <v>489148791.84418553</v>
      </c>
    </row>
    <row r="104" spans="1:19" x14ac:dyDescent="0.2">
      <c r="A104" s="23" t="s">
        <v>81</v>
      </c>
      <c r="B104" s="23"/>
      <c r="C104" s="23"/>
      <c r="D104" s="23"/>
      <c r="E104" s="23"/>
      <c r="F104" s="23">
        <v>0</v>
      </c>
      <c r="G104" s="23"/>
      <c r="H104" s="23"/>
      <c r="I104" s="27">
        <f>F104/20</f>
        <v>0</v>
      </c>
      <c r="J104" s="27">
        <f>I104</f>
        <v>0</v>
      </c>
      <c r="K104" s="27">
        <f t="shared" ref="K104:R104" si="72">J104</f>
        <v>0</v>
      </c>
      <c r="L104" s="27">
        <f t="shared" si="72"/>
        <v>0</v>
      </c>
      <c r="M104" s="27">
        <f t="shared" si="72"/>
        <v>0</v>
      </c>
      <c r="N104" s="27">
        <f t="shared" si="72"/>
        <v>0</v>
      </c>
      <c r="O104" s="27">
        <f t="shared" si="72"/>
        <v>0</v>
      </c>
      <c r="P104" s="27">
        <f t="shared" si="72"/>
        <v>0</v>
      </c>
      <c r="Q104" s="27">
        <f t="shared" si="72"/>
        <v>0</v>
      </c>
      <c r="R104" s="27">
        <f t="shared" si="72"/>
        <v>0</v>
      </c>
      <c r="S104" s="23"/>
    </row>
    <row r="105" spans="1:19" x14ac:dyDescent="0.2">
      <c r="A105" s="22" t="s">
        <v>24</v>
      </c>
      <c r="B105" s="23"/>
      <c r="C105" s="23"/>
      <c r="D105" s="23"/>
      <c r="E105" s="23"/>
      <c r="F105" s="23"/>
      <c r="G105" s="23"/>
      <c r="H105" s="23"/>
      <c r="I105" s="28">
        <f>SUM(I104+I102)</f>
        <v>60892712.867007978</v>
      </c>
      <c r="J105" s="28">
        <f t="shared" ref="J105:R105" si="73">SUM(J104+J102)</f>
        <v>64310380.622675627</v>
      </c>
      <c r="K105" s="28">
        <f t="shared" si="73"/>
        <v>59883444.715432644</v>
      </c>
      <c r="L105" s="28">
        <f t="shared" si="73"/>
        <v>55445216.774326637</v>
      </c>
      <c r="M105" s="28">
        <f t="shared" si="73"/>
        <v>51000907.514018461</v>
      </c>
      <c r="N105" s="28">
        <f t="shared" si="73"/>
        <v>46555397.493073046</v>
      </c>
      <c r="O105" s="28">
        <f t="shared" si="73"/>
        <v>42113248.968517974</v>
      </c>
      <c r="P105" s="28">
        <f t="shared" si="73"/>
        <v>37678717.797049902</v>
      </c>
      <c r="Q105" s="28">
        <f t="shared" si="73"/>
        <v>36246378.517116159</v>
      </c>
      <c r="R105" s="28">
        <f t="shared" si="73"/>
        <v>35022386.574967086</v>
      </c>
    </row>
    <row r="106" spans="1:19" x14ac:dyDescent="0.2">
      <c r="A106" s="15" t="s">
        <v>26</v>
      </c>
      <c r="S106" s="26">
        <f>SUM(I105:R105)</f>
        <v>489148791.84418553</v>
      </c>
    </row>
    <row r="107" spans="1:19" s="41" customFormat="1" x14ac:dyDescent="0.2"/>
    <row r="108" spans="1:19" x14ac:dyDescent="0.2">
      <c r="A108" s="15" t="s">
        <v>102</v>
      </c>
    </row>
    <row r="109" spans="1:19" x14ac:dyDescent="0.2">
      <c r="A109" s="22" t="s">
        <v>104</v>
      </c>
      <c r="B109" s="22"/>
      <c r="C109" s="22"/>
      <c r="D109" s="23"/>
      <c r="E109" s="23"/>
      <c r="F109" s="23"/>
      <c r="G109" s="23"/>
      <c r="H109" s="23" t="s">
        <v>18</v>
      </c>
      <c r="I109" s="23"/>
      <c r="J109" s="23"/>
      <c r="K109" s="23"/>
      <c r="L109" s="23"/>
      <c r="M109" s="23"/>
      <c r="N109" s="23"/>
      <c r="O109" s="23"/>
      <c r="P109" s="23"/>
      <c r="Q109" s="23"/>
      <c r="R109" s="23"/>
      <c r="S109" s="23"/>
    </row>
    <row r="110" spans="1:19" x14ac:dyDescent="0.2">
      <c r="A110" s="23" t="s">
        <v>19</v>
      </c>
      <c r="B110" s="23"/>
      <c r="C110" s="23"/>
      <c r="D110" s="23"/>
      <c r="E110" s="23"/>
      <c r="F110" s="23"/>
      <c r="G110" s="23"/>
      <c r="H110" s="24">
        <f>H89</f>
        <v>64</v>
      </c>
      <c r="I110" s="24">
        <f t="shared" ref="I110:R110" si="74">I36*($H$110*(1+0.02*(I2-2024)))</f>
        <v>39408358.363605917</v>
      </c>
      <c r="J110" s="24">
        <f t="shared" si="74"/>
        <v>40728193.235806018</v>
      </c>
      <c r="K110" s="24">
        <f t="shared" si="74"/>
        <v>38886225.719942704</v>
      </c>
      <c r="L110" s="24">
        <f t="shared" si="74"/>
        <v>37029751.245431922</v>
      </c>
      <c r="M110" s="24">
        <f t="shared" si="74"/>
        <v>35161643.988285288</v>
      </c>
      <c r="N110" s="24">
        <f t="shared" si="74"/>
        <v>33284615.646242026</v>
      </c>
      <c r="O110" s="24">
        <f t="shared" si="74"/>
        <v>31401220.067559551</v>
      </c>
      <c r="P110" s="24">
        <f t="shared" si="74"/>
        <v>29513858.044800524</v>
      </c>
      <c r="Q110" s="24">
        <f t="shared" si="74"/>
        <v>27624782.234460779</v>
      </c>
      <c r="R110" s="24">
        <f t="shared" si="74"/>
        <v>25736102.167339653</v>
      </c>
      <c r="S110" s="23"/>
    </row>
    <row r="111" spans="1:19" x14ac:dyDescent="0.2">
      <c r="A111" s="23" t="s">
        <v>74</v>
      </c>
      <c r="B111" s="23"/>
      <c r="C111" s="23"/>
      <c r="D111" s="23"/>
      <c r="E111" s="23"/>
      <c r="F111" s="23"/>
      <c r="G111" s="23"/>
      <c r="H111" s="24">
        <f>H90</f>
        <v>99</v>
      </c>
      <c r="I111" s="24">
        <f>I37*($H$111*(1+0.05*(I2-2024)))</f>
        <v>28462500</v>
      </c>
      <c r="J111" s="24">
        <f t="shared" ref="J111:R111" si="75">J37*($H$111*(1+0.05*(J2-2024)))</f>
        <v>29700000</v>
      </c>
      <c r="K111" s="24">
        <f t="shared" si="75"/>
        <v>30937500</v>
      </c>
      <c r="L111" s="24">
        <f t="shared" si="75"/>
        <v>32175000.000000004</v>
      </c>
      <c r="M111" s="24">
        <f t="shared" si="75"/>
        <v>33412500</v>
      </c>
      <c r="N111" s="24">
        <f t="shared" si="75"/>
        <v>34650000</v>
      </c>
      <c r="O111" s="24">
        <f t="shared" si="75"/>
        <v>35887499.999999993</v>
      </c>
      <c r="P111" s="24">
        <f t="shared" si="75"/>
        <v>37125000</v>
      </c>
      <c r="Q111" s="24">
        <f t="shared" si="75"/>
        <v>38362500.000000007</v>
      </c>
      <c r="R111" s="24">
        <f t="shared" si="75"/>
        <v>39600000</v>
      </c>
      <c r="S111" s="23"/>
    </row>
    <row r="112" spans="1:19" x14ac:dyDescent="0.2">
      <c r="A112" s="23" t="s">
        <v>20</v>
      </c>
      <c r="B112" s="23"/>
      <c r="C112" s="23"/>
      <c r="D112" s="23"/>
      <c r="E112" s="23"/>
      <c r="F112" s="23"/>
      <c r="G112" s="23"/>
      <c r="H112" s="24">
        <f>H91</f>
        <v>171</v>
      </c>
      <c r="I112" s="24">
        <f t="shared" ref="I112:R112" si="76">I38*($H$112*(1+0.02*(I2-2024)))</f>
        <v>8401054.6045327485</v>
      </c>
      <c r="J112" s="24">
        <f t="shared" si="76"/>
        <v>0</v>
      </c>
      <c r="K112" s="24">
        <f t="shared" si="76"/>
        <v>0</v>
      </c>
      <c r="L112" s="24">
        <f t="shared" si="76"/>
        <v>0</v>
      </c>
      <c r="M112" s="24">
        <f t="shared" si="76"/>
        <v>0</v>
      </c>
      <c r="N112" s="24">
        <f t="shared" si="76"/>
        <v>0</v>
      </c>
      <c r="O112" s="24">
        <f t="shared" si="76"/>
        <v>0</v>
      </c>
      <c r="P112" s="24">
        <f t="shared" si="76"/>
        <v>0</v>
      </c>
      <c r="Q112" s="24">
        <f t="shared" si="76"/>
        <v>0</v>
      </c>
      <c r="R112" s="24">
        <f t="shared" si="76"/>
        <v>0</v>
      </c>
      <c r="S112" s="23" t="s">
        <v>35</v>
      </c>
    </row>
    <row r="113" spans="1:19" x14ac:dyDescent="0.2">
      <c r="A113" s="22" t="s">
        <v>21</v>
      </c>
      <c r="B113" s="22"/>
      <c r="C113" s="22"/>
      <c r="D113" s="22"/>
      <c r="E113" s="22"/>
      <c r="F113" s="22"/>
      <c r="G113" s="22"/>
      <c r="H113" s="22"/>
      <c r="I113" s="26">
        <f>SUM(I110:I112)</f>
        <v>76271912.968138665</v>
      </c>
      <c r="J113" s="26">
        <f t="shared" ref="J113:R113" si="77">SUM(J110:J112)</f>
        <v>70428193.235806018</v>
      </c>
      <c r="K113" s="26">
        <f t="shared" si="77"/>
        <v>69823725.719942704</v>
      </c>
      <c r="L113" s="26">
        <f t="shared" si="77"/>
        <v>69204751.24543193</v>
      </c>
      <c r="M113" s="26">
        <f t="shared" si="77"/>
        <v>68574143.988285288</v>
      </c>
      <c r="N113" s="26">
        <f t="shared" si="77"/>
        <v>67934615.646242023</v>
      </c>
      <c r="O113" s="26">
        <f t="shared" si="77"/>
        <v>67288720.06755954</v>
      </c>
      <c r="P113" s="26">
        <f t="shared" si="77"/>
        <v>66638858.04480052</v>
      </c>
      <c r="Q113" s="26">
        <f t="shared" si="77"/>
        <v>65987282.234460786</v>
      </c>
      <c r="R113" s="26">
        <f t="shared" si="77"/>
        <v>65336102.167339653</v>
      </c>
      <c r="S113" s="34" t="s">
        <v>22</v>
      </c>
    </row>
    <row r="114" spans="1:19" x14ac:dyDescent="0.2">
      <c r="A114" s="22" t="s">
        <v>25</v>
      </c>
      <c r="J114" s="23"/>
      <c r="K114" s="23"/>
      <c r="L114" s="23"/>
      <c r="M114" s="23"/>
      <c r="N114" s="23"/>
      <c r="O114" s="23"/>
      <c r="P114" s="23"/>
      <c r="Q114" s="23"/>
      <c r="S114" s="26">
        <f>SUM(I113:R113)</f>
        <v>687488305.31800711</v>
      </c>
    </row>
    <row r="115" spans="1:19" x14ac:dyDescent="0.2">
      <c r="A115" s="23" t="s">
        <v>81</v>
      </c>
      <c r="B115" s="23"/>
      <c r="C115" s="23"/>
      <c r="D115" s="23"/>
      <c r="E115" s="23"/>
      <c r="F115" s="24">
        <f>F62</f>
        <v>220000000</v>
      </c>
      <c r="G115" s="24"/>
      <c r="H115" s="23"/>
      <c r="I115" s="27">
        <f>F115/20</f>
        <v>11000000</v>
      </c>
      <c r="J115" s="27">
        <f>I115</f>
        <v>11000000</v>
      </c>
      <c r="K115" s="27">
        <f t="shared" ref="K115:R115" si="78">J115</f>
        <v>11000000</v>
      </c>
      <c r="L115" s="27">
        <f t="shared" si="78"/>
        <v>11000000</v>
      </c>
      <c r="M115" s="27">
        <f t="shared" si="78"/>
        <v>11000000</v>
      </c>
      <c r="N115" s="27">
        <f t="shared" si="78"/>
        <v>11000000</v>
      </c>
      <c r="O115" s="27">
        <f t="shared" si="78"/>
        <v>11000000</v>
      </c>
      <c r="P115" s="27">
        <f t="shared" si="78"/>
        <v>11000000</v>
      </c>
      <c r="Q115" s="27">
        <f t="shared" si="78"/>
        <v>11000000</v>
      </c>
      <c r="R115" s="27">
        <f t="shared" si="78"/>
        <v>11000000</v>
      </c>
      <c r="S115" s="23"/>
    </row>
    <row r="116" spans="1:19" x14ac:dyDescent="0.2">
      <c r="A116" s="22" t="s">
        <v>24</v>
      </c>
      <c r="B116" s="23"/>
      <c r="C116" s="23"/>
      <c r="D116" s="23"/>
      <c r="E116" s="23"/>
      <c r="F116" s="23"/>
      <c r="G116" s="23"/>
      <c r="H116" s="23"/>
      <c r="I116" s="28">
        <f>SUM(I115+I113)</f>
        <v>87271912.968138665</v>
      </c>
      <c r="J116" s="28">
        <f t="shared" ref="J116:R116" si="79">SUM(J115+J113)</f>
        <v>81428193.235806018</v>
      </c>
      <c r="K116" s="28">
        <f t="shared" si="79"/>
        <v>80823725.719942704</v>
      </c>
      <c r="L116" s="28">
        <f t="shared" si="79"/>
        <v>80204751.24543193</v>
      </c>
      <c r="M116" s="28">
        <f t="shared" si="79"/>
        <v>79574143.988285288</v>
      </c>
      <c r="N116" s="28">
        <f t="shared" si="79"/>
        <v>78934615.646242023</v>
      </c>
      <c r="O116" s="28">
        <f t="shared" si="79"/>
        <v>78288720.06755954</v>
      </c>
      <c r="P116" s="28">
        <f t="shared" si="79"/>
        <v>77638858.04480052</v>
      </c>
      <c r="Q116" s="28">
        <f t="shared" si="79"/>
        <v>76987282.234460786</v>
      </c>
      <c r="R116" s="28">
        <f t="shared" si="79"/>
        <v>76336102.167339653</v>
      </c>
    </row>
    <row r="117" spans="1:19" x14ac:dyDescent="0.2">
      <c r="A117" s="15" t="s">
        <v>26</v>
      </c>
      <c r="S117" s="26">
        <f>SUM(I116:R116)</f>
        <v>797488305.31800711</v>
      </c>
    </row>
    <row r="118" spans="1:19" x14ac:dyDescent="0.2">
      <c r="A118" s="15"/>
      <c r="R118" s="26"/>
    </row>
    <row r="119" spans="1:19" x14ac:dyDescent="0.2">
      <c r="A119" s="22" t="s">
        <v>105</v>
      </c>
      <c r="B119" s="22"/>
      <c r="C119" s="22"/>
      <c r="D119" s="23"/>
      <c r="E119" s="23"/>
      <c r="F119" s="23"/>
      <c r="G119" s="23"/>
      <c r="H119" s="23" t="s">
        <v>28</v>
      </c>
      <c r="I119" s="23"/>
      <c r="J119" s="23"/>
      <c r="K119" s="23"/>
      <c r="L119" s="23"/>
      <c r="M119" s="23"/>
      <c r="N119" s="23"/>
      <c r="O119" s="23"/>
      <c r="P119" s="23"/>
      <c r="Q119" s="23"/>
      <c r="R119" s="23"/>
      <c r="S119" s="23"/>
    </row>
    <row r="120" spans="1:19" x14ac:dyDescent="0.2">
      <c r="A120" s="23" t="s">
        <v>19</v>
      </c>
      <c r="B120" s="23"/>
      <c r="C120" s="23"/>
      <c r="D120" s="23"/>
      <c r="E120" s="23"/>
      <c r="F120" s="23"/>
      <c r="G120" s="23"/>
      <c r="H120" s="24">
        <f>H99</f>
        <v>47.643125769627581</v>
      </c>
      <c r="I120" s="24">
        <f t="shared" ref="I120:R120" si="80">I36*($H$120*(1+0.02*(I2-2022)))</f>
        <v>30443560.01298666</v>
      </c>
      <c r="J120" s="24">
        <f t="shared" si="80"/>
        <v>31441965.344727803</v>
      </c>
      <c r="K120" s="24">
        <f t="shared" si="80"/>
        <v>30000481.969556067</v>
      </c>
      <c r="L120" s="24">
        <f t="shared" si="80"/>
        <v>28550323.5370089</v>
      </c>
      <c r="M120" s="24">
        <f t="shared" si="80"/>
        <v>27093592.922490124</v>
      </c>
      <c r="N120" s="24">
        <f t="shared" si="80"/>
        <v>25632270.411006838</v>
      </c>
      <c r="O120" s="24">
        <f t="shared" si="80"/>
        <v>24168217.398545574</v>
      </c>
      <c r="P120" s="24">
        <f t="shared" si="80"/>
        <v>22703180.194810595</v>
      </c>
      <c r="Q120" s="24">
        <f t="shared" si="80"/>
        <v>21238793.899683472</v>
      </c>
      <c r="R120" s="24">
        <f t="shared" si="80"/>
        <v>19776586.328686256</v>
      </c>
      <c r="S120" s="23"/>
    </row>
    <row r="121" spans="1:19" x14ac:dyDescent="0.2">
      <c r="A121" s="23" t="s">
        <v>74</v>
      </c>
      <c r="B121" s="23"/>
      <c r="C121" s="23"/>
      <c r="D121" s="23"/>
      <c r="E121" s="23"/>
      <c r="F121" s="23"/>
      <c r="G121" s="23"/>
      <c r="H121" s="24">
        <f>H100</f>
        <v>78.280771161677052</v>
      </c>
      <c r="I121" s="24">
        <f>I37*($H$121*(1+0.05*(I2-2022)))</f>
        <v>24462740.988024082</v>
      </c>
      <c r="J121" s="24">
        <f t="shared" ref="J121:R121" si="81">J37*($H$121*(1+0.05*(J2-2022)))</f>
        <v>25441250.62754504</v>
      </c>
      <c r="K121" s="24">
        <f t="shared" si="81"/>
        <v>26419760.267066006</v>
      </c>
      <c r="L121" s="24">
        <f t="shared" si="81"/>
        <v>27398269.906586967</v>
      </c>
      <c r="M121" s="24">
        <f t="shared" si="81"/>
        <v>28376779.546107929</v>
      </c>
      <c r="N121" s="24">
        <f t="shared" si="81"/>
        <v>29355289.185628895</v>
      </c>
      <c r="O121" s="24">
        <f t="shared" si="81"/>
        <v>30333798.82514986</v>
      </c>
      <c r="P121" s="24">
        <f t="shared" si="81"/>
        <v>31312308.464670822</v>
      </c>
      <c r="Q121" s="24">
        <f t="shared" si="81"/>
        <v>32290818.104191784</v>
      </c>
      <c r="R121" s="24">
        <f t="shared" si="81"/>
        <v>33269327.743712749</v>
      </c>
      <c r="S121" s="23"/>
    </row>
    <row r="122" spans="1:19" x14ac:dyDescent="0.2">
      <c r="A122" s="23" t="s">
        <v>20</v>
      </c>
      <c r="B122" s="23"/>
      <c r="C122" s="23"/>
      <c r="D122" s="23"/>
      <c r="E122" s="23"/>
      <c r="F122" s="23"/>
      <c r="G122" s="23"/>
      <c r="H122" s="24">
        <f>H101</f>
        <v>117.41999999999999</v>
      </c>
      <c r="I122" s="24">
        <f t="shared" ref="I122:R122" si="82">I38*($H$122*(1+0.02*(I2-2022)))</f>
        <v>5986411.8659972344</v>
      </c>
      <c r="J122" s="24">
        <f t="shared" si="82"/>
        <v>0</v>
      </c>
      <c r="K122" s="24">
        <f t="shared" si="82"/>
        <v>0</v>
      </c>
      <c r="L122" s="24">
        <f t="shared" si="82"/>
        <v>0</v>
      </c>
      <c r="M122" s="24">
        <f t="shared" si="82"/>
        <v>0</v>
      </c>
      <c r="N122" s="24">
        <f t="shared" si="82"/>
        <v>0</v>
      </c>
      <c r="O122" s="24">
        <f t="shared" si="82"/>
        <v>0</v>
      </c>
      <c r="P122" s="24">
        <f t="shared" si="82"/>
        <v>0</v>
      </c>
      <c r="Q122" s="24">
        <f t="shared" si="82"/>
        <v>0</v>
      </c>
      <c r="R122" s="24">
        <f t="shared" si="82"/>
        <v>0</v>
      </c>
      <c r="S122" s="23" t="s">
        <v>36</v>
      </c>
    </row>
    <row r="123" spans="1:19" x14ac:dyDescent="0.2">
      <c r="A123" s="22" t="s">
        <v>21</v>
      </c>
      <c r="B123" s="22"/>
      <c r="C123" s="22"/>
      <c r="D123" s="22"/>
      <c r="E123" s="22"/>
      <c r="F123" s="22"/>
      <c r="G123" s="22"/>
      <c r="H123" s="22"/>
      <c r="I123" s="26">
        <f>SUM(I120:I122)</f>
        <v>60892712.867007978</v>
      </c>
      <c r="J123" s="26">
        <f t="shared" ref="J123:R123" si="83">SUM(J120:J122)</f>
        <v>56883215.972272843</v>
      </c>
      <c r="K123" s="26">
        <f t="shared" si="83"/>
        <v>56420242.236622073</v>
      </c>
      <c r="L123" s="26">
        <f t="shared" si="83"/>
        <v>55948593.443595871</v>
      </c>
      <c r="M123" s="26">
        <f t="shared" si="83"/>
        <v>55470372.468598053</v>
      </c>
      <c r="N123" s="26">
        <f t="shared" si="83"/>
        <v>54987559.596635729</v>
      </c>
      <c r="O123" s="26">
        <f t="shared" si="83"/>
        <v>54502016.223695435</v>
      </c>
      <c r="P123" s="26">
        <f t="shared" si="83"/>
        <v>54015488.659481421</v>
      </c>
      <c r="Q123" s="26">
        <f t="shared" si="83"/>
        <v>53529612.003875256</v>
      </c>
      <c r="R123" s="26">
        <f t="shared" si="83"/>
        <v>53045914.072399005</v>
      </c>
      <c r="S123" s="34" t="s">
        <v>22</v>
      </c>
    </row>
    <row r="124" spans="1:19" x14ac:dyDescent="0.2">
      <c r="A124" s="22" t="s">
        <v>25</v>
      </c>
      <c r="J124" s="23"/>
      <c r="K124" s="23"/>
      <c r="L124" s="23"/>
      <c r="M124" s="23"/>
      <c r="N124" s="23"/>
      <c r="O124" s="23"/>
      <c r="P124" s="23"/>
      <c r="Q124" s="23"/>
      <c r="S124" s="26">
        <f>SUM(I123:R123)</f>
        <v>555695727.54418361</v>
      </c>
    </row>
    <row r="125" spans="1:19" x14ac:dyDescent="0.2">
      <c r="A125" s="23" t="s">
        <v>81</v>
      </c>
      <c r="B125" s="23"/>
      <c r="C125" s="23"/>
      <c r="D125" s="23"/>
      <c r="E125" s="23"/>
      <c r="F125" s="24">
        <f>F53</f>
        <v>220000000</v>
      </c>
      <c r="G125" s="24"/>
      <c r="H125" s="23"/>
      <c r="I125" s="27">
        <f>F125/20</f>
        <v>11000000</v>
      </c>
      <c r="J125" s="27">
        <f>I125</f>
        <v>11000000</v>
      </c>
      <c r="K125" s="27">
        <f t="shared" ref="K125:R125" si="84">J125</f>
        <v>11000000</v>
      </c>
      <c r="L125" s="27">
        <f t="shared" si="84"/>
        <v>11000000</v>
      </c>
      <c r="M125" s="27">
        <f t="shared" si="84"/>
        <v>11000000</v>
      </c>
      <c r="N125" s="27">
        <f t="shared" si="84"/>
        <v>11000000</v>
      </c>
      <c r="O125" s="27">
        <f t="shared" si="84"/>
        <v>11000000</v>
      </c>
      <c r="P125" s="27">
        <f t="shared" si="84"/>
        <v>11000000</v>
      </c>
      <c r="Q125" s="27">
        <f t="shared" si="84"/>
        <v>11000000</v>
      </c>
      <c r="R125" s="27">
        <f t="shared" si="84"/>
        <v>11000000</v>
      </c>
      <c r="S125" s="23"/>
    </row>
    <row r="126" spans="1:19" x14ac:dyDescent="0.2">
      <c r="A126" s="22" t="s">
        <v>24</v>
      </c>
      <c r="B126" s="23"/>
      <c r="C126" s="23"/>
      <c r="D126" s="23"/>
      <c r="E126" s="23"/>
      <c r="F126" s="23"/>
      <c r="G126" s="23"/>
      <c r="H126" s="23"/>
      <c r="I126" s="28">
        <f>SUM(I125+I123)</f>
        <v>71892712.867007971</v>
      </c>
      <c r="J126" s="28">
        <f t="shared" ref="J126:R126" si="85">SUM(J125+J123)</f>
        <v>67883215.972272843</v>
      </c>
      <c r="K126" s="28">
        <f t="shared" si="85"/>
        <v>67420242.236622065</v>
      </c>
      <c r="L126" s="28">
        <f t="shared" si="85"/>
        <v>66948593.443595871</v>
      </c>
      <c r="M126" s="28">
        <f t="shared" si="85"/>
        <v>66470372.468598053</v>
      </c>
      <c r="N126" s="28">
        <f t="shared" si="85"/>
        <v>65987559.596635729</v>
      </c>
      <c r="O126" s="28">
        <f t="shared" si="85"/>
        <v>65502016.223695435</v>
      </c>
      <c r="P126" s="28">
        <f t="shared" si="85"/>
        <v>65015488.659481421</v>
      </c>
      <c r="Q126" s="28">
        <f t="shared" si="85"/>
        <v>64529612.003875256</v>
      </c>
      <c r="R126" s="28">
        <f t="shared" si="85"/>
        <v>64045914.072399005</v>
      </c>
    </row>
    <row r="127" spans="1:19" x14ac:dyDescent="0.2">
      <c r="A127" s="15" t="s">
        <v>26</v>
      </c>
      <c r="S127" s="26">
        <f>SUM(I126:R126)</f>
        <v>665695727.54418373</v>
      </c>
    </row>
    <row r="128" spans="1:19" ht="17" customHeight="1" x14ac:dyDescent="0.2"/>
    <row r="129" spans="1:12" ht="17" customHeight="1" x14ac:dyDescent="0.2">
      <c r="A129" s="32"/>
    </row>
    <row r="134" spans="1:12" s="42" customFormat="1" x14ac:dyDescent="0.2">
      <c r="A134" s="42" t="s">
        <v>38</v>
      </c>
      <c r="D134" s="42" t="s">
        <v>48</v>
      </c>
      <c r="H134" s="43">
        <v>-0.05</v>
      </c>
      <c r="I134" s="42" t="s">
        <v>134</v>
      </c>
    </row>
    <row r="135" spans="1:12" ht="34" x14ac:dyDescent="0.2">
      <c r="A135" s="15" t="s">
        <v>39</v>
      </c>
      <c r="F135" s="44" t="s">
        <v>100</v>
      </c>
      <c r="G135" s="44" t="s">
        <v>135</v>
      </c>
      <c r="H135" s="45" t="s">
        <v>84</v>
      </c>
      <c r="I135" s="15" t="s">
        <v>44</v>
      </c>
      <c r="J135" s="15" t="s">
        <v>45</v>
      </c>
    </row>
    <row r="136" spans="1:12" x14ac:dyDescent="0.2">
      <c r="A136" t="s">
        <v>12</v>
      </c>
      <c r="F136" s="25">
        <f>S55</f>
        <v>893914288.51060331</v>
      </c>
      <c r="G136" s="25">
        <f>F136</f>
        <v>893914288.51060331</v>
      </c>
      <c r="J136" s="13">
        <f>S13-S32</f>
        <v>1340603.776471436</v>
      </c>
      <c r="L136" s="29"/>
    </row>
    <row r="137" spans="1:12" x14ac:dyDescent="0.2">
      <c r="A137" t="s">
        <v>82</v>
      </c>
      <c r="F137" s="25">
        <f>S75</f>
        <v>1158589126.6353915</v>
      </c>
      <c r="G137" s="25">
        <f>F137</f>
        <v>1158589126.6353915</v>
      </c>
      <c r="I137" s="61">
        <f>F136-F137</f>
        <v>-264674838.12478817</v>
      </c>
      <c r="K137" t="s">
        <v>125</v>
      </c>
    </row>
    <row r="138" spans="1:12" x14ac:dyDescent="0.2">
      <c r="A138" t="s">
        <v>83</v>
      </c>
      <c r="F138" s="25">
        <f>S96</f>
        <v>644837582.53409481</v>
      </c>
      <c r="G138" s="63">
        <f>F138+H138</f>
        <v>744837582.53409481</v>
      </c>
      <c r="H138" s="47">
        <v>100000000</v>
      </c>
      <c r="I138" s="62">
        <f>F136-F138-H138</f>
        <v>149076705.9765085</v>
      </c>
    </row>
    <row r="139" spans="1:12" x14ac:dyDescent="0.2">
      <c r="A139" t="s">
        <v>103</v>
      </c>
      <c r="F139" s="25">
        <f>S117</f>
        <v>797488305.31800711</v>
      </c>
      <c r="G139" s="25">
        <f>F139+H139</f>
        <v>897488305.31800711</v>
      </c>
      <c r="H139" s="40">
        <f>H138</f>
        <v>100000000</v>
      </c>
      <c r="I139" s="61">
        <f>F136-F139-H139</f>
        <v>-3574016.8074038029</v>
      </c>
      <c r="K139" t="s">
        <v>126</v>
      </c>
    </row>
    <row r="141" spans="1:12" x14ac:dyDescent="0.2">
      <c r="A141" s="15" t="s">
        <v>40</v>
      </c>
      <c r="J141" s="13">
        <f>J136</f>
        <v>1340603.776471436</v>
      </c>
      <c r="L141" s="29"/>
    </row>
    <row r="142" spans="1:12" x14ac:dyDescent="0.2">
      <c r="A142" t="s">
        <v>12</v>
      </c>
      <c r="F142" s="25">
        <f>S64</f>
        <v>734077636.68256271</v>
      </c>
      <c r="G142" s="25">
        <f>F142</f>
        <v>734077636.68256271</v>
      </c>
    </row>
    <row r="143" spans="1:12" x14ac:dyDescent="0.2">
      <c r="A143" t="s">
        <v>82</v>
      </c>
      <c r="F143" s="25">
        <f>S85</f>
        <v>853612970.50686359</v>
      </c>
      <c r="G143" s="25">
        <f>F143</f>
        <v>853612970.50686359</v>
      </c>
      <c r="I143" s="61">
        <f>F142-F143</f>
        <v>-119535333.82430089</v>
      </c>
      <c r="K143" t="s">
        <v>125</v>
      </c>
    </row>
    <row r="144" spans="1:12" ht="17" customHeight="1" x14ac:dyDescent="0.2">
      <c r="A144" t="s">
        <v>83</v>
      </c>
      <c r="F144" s="25">
        <f>S106</f>
        <v>489148791.84418553</v>
      </c>
      <c r="G144" s="63">
        <f>F144+H144</f>
        <v>589148791.84418559</v>
      </c>
      <c r="H144" s="40">
        <f>H138</f>
        <v>100000000</v>
      </c>
      <c r="I144" s="62">
        <f>F142-F144-H144</f>
        <v>144928844.83837718</v>
      </c>
    </row>
    <row r="145" spans="1:19" ht="17" customHeight="1" x14ac:dyDescent="0.2">
      <c r="A145" t="s">
        <v>103</v>
      </c>
      <c r="F145" s="25">
        <f>S127</f>
        <v>665695727.54418373</v>
      </c>
      <c r="G145" s="25">
        <f>F145+H145</f>
        <v>765695727.54418373</v>
      </c>
      <c r="H145" s="40">
        <f>H138</f>
        <v>100000000</v>
      </c>
      <c r="I145" s="61">
        <f>F142-F145-H145</f>
        <v>-31618090.861621022</v>
      </c>
    </row>
    <row r="147" spans="1:19" x14ac:dyDescent="0.2">
      <c r="A147" s="1"/>
    </row>
    <row r="148" spans="1:19" x14ac:dyDescent="0.2">
      <c r="A148" s="23"/>
      <c r="B148" s="23"/>
      <c r="C148" s="23"/>
      <c r="D148" s="23"/>
      <c r="E148" s="23"/>
      <c r="F148" s="23"/>
      <c r="G148" s="23"/>
      <c r="H148" s="23"/>
      <c r="I148" s="24"/>
      <c r="J148" s="23"/>
      <c r="K148" s="23"/>
      <c r="L148" s="23"/>
      <c r="M148" s="23"/>
      <c r="N148" s="23"/>
      <c r="O148" s="23"/>
      <c r="P148" s="23"/>
      <c r="Q148" s="23"/>
      <c r="R148" s="23"/>
      <c r="S148" s="23"/>
    </row>
    <row r="168" spans="1:1" x14ac:dyDescent="0.2">
      <c r="A168" s="1"/>
    </row>
  </sheetData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CC7256-458F-3E4C-9F05-D92145FBE5AF}">
  <dimension ref="A1:U168"/>
  <sheetViews>
    <sheetView topLeftCell="A114" workbookViewId="0">
      <selection activeCell="G135" sqref="G135:G145"/>
    </sheetView>
  </sheetViews>
  <sheetFormatPr baseColWidth="10" defaultRowHeight="16" x14ac:dyDescent="0.2"/>
  <cols>
    <col min="1" max="1" width="40.33203125" customWidth="1"/>
    <col min="2" max="2" width="13" customWidth="1"/>
    <col min="6" max="6" width="16" bestFit="1" customWidth="1"/>
    <col min="7" max="7" width="16" customWidth="1"/>
    <col min="8" max="8" width="15.83203125" customWidth="1"/>
    <col min="9" max="18" width="14.6640625" customWidth="1"/>
    <col min="19" max="19" width="18" customWidth="1"/>
  </cols>
  <sheetData>
    <row r="1" spans="1:21" ht="34" x14ac:dyDescent="0.2">
      <c r="A1" s="1" t="s">
        <v>0</v>
      </c>
      <c r="B1" s="2" t="s">
        <v>1</v>
      </c>
      <c r="C1" s="2"/>
      <c r="D1" s="2"/>
      <c r="E1" s="2"/>
      <c r="F1" s="36" t="s">
        <v>112</v>
      </c>
      <c r="G1" s="53" t="s">
        <v>114</v>
      </c>
      <c r="H1" s="2" t="s">
        <v>2</v>
      </c>
      <c r="I1" s="3" t="s">
        <v>3</v>
      </c>
      <c r="J1" s="3"/>
      <c r="K1" s="3"/>
      <c r="L1" s="3"/>
      <c r="M1" s="3"/>
      <c r="N1" s="3"/>
      <c r="O1" s="3"/>
      <c r="P1" s="3"/>
      <c r="Q1" s="3"/>
      <c r="R1" s="3"/>
    </row>
    <row r="2" spans="1:21" s="15" customFormat="1" x14ac:dyDescent="0.2">
      <c r="A2" s="15" t="s">
        <v>4</v>
      </c>
      <c r="B2" s="15">
        <v>2010</v>
      </c>
      <c r="C2" s="15">
        <v>2020</v>
      </c>
      <c r="D2" s="15">
        <v>2022</v>
      </c>
      <c r="E2" s="15">
        <v>2024</v>
      </c>
      <c r="I2" s="15">
        <v>2027</v>
      </c>
      <c r="J2" s="15">
        <f>I2+1</f>
        <v>2028</v>
      </c>
      <c r="K2" s="15">
        <f t="shared" ref="K2:Q2" si="0">J2+1</f>
        <v>2029</v>
      </c>
      <c r="L2" s="15">
        <f t="shared" si="0"/>
        <v>2030</v>
      </c>
      <c r="M2" s="15">
        <f t="shared" si="0"/>
        <v>2031</v>
      </c>
      <c r="N2" s="15">
        <f t="shared" si="0"/>
        <v>2032</v>
      </c>
      <c r="O2" s="15">
        <f t="shared" si="0"/>
        <v>2033</v>
      </c>
      <c r="P2" s="15">
        <f t="shared" si="0"/>
        <v>2034</v>
      </c>
      <c r="Q2" s="15">
        <f t="shared" si="0"/>
        <v>2035</v>
      </c>
      <c r="R2" s="15">
        <f>Q2+1</f>
        <v>2036</v>
      </c>
      <c r="S2" s="15" t="s">
        <v>110</v>
      </c>
    </row>
    <row r="3" spans="1:21" x14ac:dyDescent="0.2">
      <c r="A3" t="s">
        <v>5</v>
      </c>
      <c r="B3" s="4">
        <v>2351496</v>
      </c>
      <c r="C3" s="4">
        <v>2766953</v>
      </c>
      <c r="D3" s="4">
        <v>2854375</v>
      </c>
      <c r="E3" s="4">
        <v>3124079</v>
      </c>
      <c r="F3" s="9"/>
      <c r="G3" s="9"/>
      <c r="H3" s="5"/>
      <c r="I3" s="4">
        <f>3124079+3*42500</f>
        <v>3251579</v>
      </c>
      <c r="J3" s="4">
        <f>I3+42500</f>
        <v>3294079</v>
      </c>
      <c r="K3" s="4">
        <f t="shared" ref="K3:R3" si="1">J3+42500</f>
        <v>3336579</v>
      </c>
      <c r="L3" s="4">
        <f t="shared" si="1"/>
        <v>3379079</v>
      </c>
      <c r="M3" s="4">
        <f t="shared" si="1"/>
        <v>3421579</v>
      </c>
      <c r="N3" s="4">
        <f t="shared" si="1"/>
        <v>3464079</v>
      </c>
      <c r="O3" s="4">
        <f t="shared" si="1"/>
        <v>3506579</v>
      </c>
      <c r="P3" s="4">
        <f t="shared" si="1"/>
        <v>3549079</v>
      </c>
      <c r="Q3" s="4">
        <f t="shared" si="1"/>
        <v>3591579</v>
      </c>
      <c r="R3" s="4">
        <f t="shared" si="1"/>
        <v>3634079</v>
      </c>
      <c r="S3" t="s">
        <v>6</v>
      </c>
    </row>
    <row r="4" spans="1:21" ht="19" customHeight="1" x14ac:dyDescent="0.2">
      <c r="A4" t="s">
        <v>7</v>
      </c>
      <c r="B4" s="6">
        <f>B13/B3</f>
        <v>0.60131933033269036</v>
      </c>
      <c r="C4" s="6">
        <f>C13/C3</f>
        <v>0.45757553525484529</v>
      </c>
      <c r="D4" s="6">
        <f>D13/D3</f>
        <v>0.44091964090212393</v>
      </c>
      <c r="E4" s="6">
        <f>E13/E3</f>
        <v>0.40831361818955281</v>
      </c>
      <c r="F4" s="52">
        <f>E4/B4-1</f>
        <v>-0.32097041024168271</v>
      </c>
      <c r="G4" s="52"/>
      <c r="H4" s="8">
        <f>F4/14</f>
        <v>-2.292645787440591E-2</v>
      </c>
      <c r="I4" s="9">
        <f>E4*(1+3*H4)</f>
        <v>0.38023006328864567</v>
      </c>
      <c r="J4" s="9">
        <f>I4*(1+$H$4)</f>
        <v>0.37151273476007585</v>
      </c>
      <c r="K4" s="9">
        <f t="shared" ref="K4:R4" si="2">J4*(1+$H$4)</f>
        <v>0.36299526369679364</v>
      </c>
      <c r="L4" s="9">
        <f t="shared" si="2"/>
        <v>0.35467306807504023</v>
      </c>
      <c r="M4" s="9">
        <f t="shared" si="2"/>
        <v>0.34654167092063148</v>
      </c>
      <c r="N4" s="9">
        <f t="shared" si="2"/>
        <v>0.33859669790054336</v>
      </c>
      <c r="O4" s="9">
        <f t="shared" si="2"/>
        <v>0.33083387496971361</v>
      </c>
      <c r="P4" s="9">
        <f t="shared" si="2"/>
        <v>0.32324902607179401</v>
      </c>
      <c r="Q4" s="9">
        <f t="shared" si="2"/>
        <v>0.31583807089261628</v>
      </c>
      <c r="R4" s="9">
        <f t="shared" si="2"/>
        <v>0.30859702266516309</v>
      </c>
      <c r="T4" s="9"/>
    </row>
    <row r="5" spans="1:21" s="21" customFormat="1" ht="17" customHeight="1" x14ac:dyDescent="0.2">
      <c r="A5" s="16" t="s">
        <v>12</v>
      </c>
      <c r="B5" s="17"/>
      <c r="C5" s="17"/>
      <c r="D5" s="17"/>
      <c r="E5" s="17"/>
      <c r="F5" s="18"/>
      <c r="H5" s="19"/>
      <c r="I5" s="20"/>
      <c r="J5" s="20"/>
      <c r="K5" s="20"/>
      <c r="L5" s="20"/>
      <c r="M5" s="20"/>
      <c r="N5" s="20"/>
      <c r="O5" s="20"/>
      <c r="P5" s="20"/>
      <c r="Q5" s="20"/>
      <c r="R5" s="20"/>
    </row>
    <row r="6" spans="1:21" x14ac:dyDescent="0.2">
      <c r="A6" s="10" t="s">
        <v>8</v>
      </c>
      <c r="B6" s="4">
        <v>567817</v>
      </c>
      <c r="C6" s="4">
        <f>615596+44138</f>
        <v>659734</v>
      </c>
      <c r="D6" s="4">
        <v>691083</v>
      </c>
      <c r="E6" s="4">
        <v>509495</v>
      </c>
      <c r="F6" s="7">
        <f>D6/B6-1</f>
        <v>0.21708754757254534</v>
      </c>
      <c r="G6" s="7">
        <f>E6/(E6+E9)</f>
        <v>0.7372414022628252</v>
      </c>
      <c r="H6" s="8">
        <f>F6/12</f>
        <v>1.8090628964378779E-2</v>
      </c>
      <c r="I6" s="11">
        <f>750000-I9</f>
        <v>580901.50889749289</v>
      </c>
      <c r="J6" s="11">
        <f t="shared" ref="J6:L6" si="3">750000-J9</f>
        <v>584778.33833038015</v>
      </c>
      <c r="K6" s="11">
        <f t="shared" si="3"/>
        <v>588566.28579658805</v>
      </c>
      <c r="L6" s="11">
        <f t="shared" si="3"/>
        <v>592267.38904478145</v>
      </c>
      <c r="M6" s="11">
        <f>M13-M10-M9-M7</f>
        <v>591603.34295220964</v>
      </c>
      <c r="N6" s="11">
        <f t="shared" ref="N6:R6" si="4">N13-N10-N9-N7</f>
        <v>582342.69202769268</v>
      </c>
      <c r="O6" s="11">
        <f t="shared" si="4"/>
        <v>572964.43505192571</v>
      </c>
      <c r="P6" s="11">
        <f t="shared" si="4"/>
        <v>563478.83221148769</v>
      </c>
      <c r="Q6" s="11">
        <f t="shared" si="4"/>
        <v>553895.73504986905</v>
      </c>
      <c r="R6" s="11">
        <f t="shared" si="4"/>
        <v>544224.59981196595</v>
      </c>
    </row>
    <row r="7" spans="1:21" x14ac:dyDescent="0.2">
      <c r="A7" s="10" t="s">
        <v>89</v>
      </c>
      <c r="B7" s="4">
        <v>284468</v>
      </c>
      <c r="C7" s="4">
        <v>244362</v>
      </c>
      <c r="D7" s="4">
        <v>233051</v>
      </c>
      <c r="E7" s="4">
        <v>243169</v>
      </c>
      <c r="F7" s="7">
        <f>E7/B7-1</f>
        <v>-0.14517977417495109</v>
      </c>
      <c r="G7" s="7"/>
      <c r="H7" s="8">
        <f t="shared" ref="H7:H13" si="5">F7/12</f>
        <v>-1.2098314514579258E-2</v>
      </c>
      <c r="I7" s="54">
        <v>250000</v>
      </c>
      <c r="J7" s="54">
        <f>$I$7</f>
        <v>250000</v>
      </c>
      <c r="K7" s="54">
        <f t="shared" ref="K7:R7" si="6">$I$7</f>
        <v>250000</v>
      </c>
      <c r="L7" s="54">
        <f t="shared" si="6"/>
        <v>250000</v>
      </c>
      <c r="M7" s="54">
        <f t="shared" si="6"/>
        <v>250000</v>
      </c>
      <c r="N7" s="54">
        <f t="shared" si="6"/>
        <v>250000</v>
      </c>
      <c r="O7" s="54">
        <f t="shared" si="6"/>
        <v>250000</v>
      </c>
      <c r="P7" s="54">
        <f t="shared" si="6"/>
        <v>250000</v>
      </c>
      <c r="Q7" s="54">
        <f t="shared" si="6"/>
        <v>250000</v>
      </c>
      <c r="R7" s="54">
        <f t="shared" si="6"/>
        <v>250000</v>
      </c>
      <c r="S7" t="s">
        <v>31</v>
      </c>
      <c r="T7" t="s">
        <v>117</v>
      </c>
    </row>
    <row r="8" spans="1:21" x14ac:dyDescent="0.2">
      <c r="A8" s="10" t="s">
        <v>9</v>
      </c>
      <c r="B8" s="4">
        <f>396384</f>
        <v>396384</v>
      </c>
      <c r="C8" s="4">
        <f>35340</f>
        <v>35340</v>
      </c>
      <c r="D8" s="4">
        <f>144603</f>
        <v>144603</v>
      </c>
      <c r="E8" s="4">
        <v>151539</v>
      </c>
      <c r="F8" s="7">
        <f t="shared" ref="F8" si="7">D8/B8-1</f>
        <v>-0.6351946597239041</v>
      </c>
      <c r="G8" s="7"/>
      <c r="H8" s="8">
        <f t="shared" si="5"/>
        <v>-5.2932888310325339E-2</v>
      </c>
      <c r="I8" s="13">
        <f>I13-I10-I7-750000</f>
        <v>46348.088958031265</v>
      </c>
      <c r="J8" s="13">
        <f>J13-J10-J7-750000</f>
        <v>33792.297805735841</v>
      </c>
      <c r="K8" s="13">
        <f t="shared" ref="K8" si="8">K13-K10-K7-750000</f>
        <v>21162.37395018409</v>
      </c>
      <c r="L8" s="13">
        <f>L13-L10-L7-750000</f>
        <v>8468.3161979389843</v>
      </c>
      <c r="M8" s="13"/>
      <c r="N8" s="13"/>
      <c r="O8" s="13"/>
      <c r="P8" s="13"/>
      <c r="Q8" s="13"/>
      <c r="R8" s="13"/>
    </row>
    <row r="9" spans="1:21" x14ac:dyDescent="0.2">
      <c r="A9" s="14" t="s">
        <v>111</v>
      </c>
      <c r="B9" s="49" t="s">
        <v>113</v>
      </c>
      <c r="C9" s="49" t="s">
        <v>113</v>
      </c>
      <c r="D9" s="49" t="s">
        <v>113</v>
      </c>
      <c r="E9" s="49">
        <f>D6-E6</f>
        <v>181588</v>
      </c>
      <c r="F9" s="7">
        <f>F6</f>
        <v>0.21708754757254534</v>
      </c>
      <c r="G9" s="7">
        <f>E9/(E9+E6)</f>
        <v>0.26275859773717486</v>
      </c>
      <c r="H9" s="51"/>
      <c r="I9" s="57">
        <f>E9*(1+3*H4)</f>
        <v>169098.49110250713</v>
      </c>
      <c r="J9" s="57">
        <f>I9*(1+$H$4)</f>
        <v>165221.66166961991</v>
      </c>
      <c r="K9" s="57">
        <f t="shared" ref="K9:R9" si="9">J9*(1+$H$4)</f>
        <v>161433.714203412</v>
      </c>
      <c r="L9" s="57">
        <f t="shared" si="9"/>
        <v>157732.61095521858</v>
      </c>
      <c r="M9" s="57">
        <f t="shared" si="9"/>
        <v>154116.36089473369</v>
      </c>
      <c r="N9" s="57">
        <f t="shared" si="9"/>
        <v>150583.01863892382</v>
      </c>
      <c r="O9" s="57">
        <f t="shared" si="9"/>
        <v>147130.68340549764</v>
      </c>
      <c r="P9" s="57">
        <f t="shared" si="9"/>
        <v>143757.49799036892</v>
      </c>
      <c r="Q9" s="57">
        <f t="shared" si="9"/>
        <v>140461.64776856275</v>
      </c>
      <c r="R9" s="57">
        <f t="shared" si="9"/>
        <v>137241.35971802715</v>
      </c>
      <c r="T9" s="55" t="s">
        <v>118</v>
      </c>
      <c r="U9" t="s">
        <v>119</v>
      </c>
    </row>
    <row r="10" spans="1:21" ht="17" customHeight="1" x14ac:dyDescent="0.2">
      <c r="A10" s="14" t="s">
        <v>10</v>
      </c>
      <c r="B10" s="4">
        <v>165331</v>
      </c>
      <c r="C10" s="4">
        <v>326654</v>
      </c>
      <c r="D10" s="4">
        <v>189813</v>
      </c>
      <c r="E10" s="4">
        <f>D10</f>
        <v>189813</v>
      </c>
      <c r="F10" s="7">
        <f>D10/B10-1</f>
        <v>0.14807870272362722</v>
      </c>
      <c r="G10" s="7"/>
      <c r="H10" s="8">
        <f>F10/12</f>
        <v>1.2339891893635602E-2</v>
      </c>
      <c r="I10" s="54">
        <v>190000</v>
      </c>
      <c r="J10" s="54">
        <f>I10</f>
        <v>190000</v>
      </c>
      <c r="K10" s="54">
        <f t="shared" ref="K10:R10" si="10">J10</f>
        <v>190000</v>
      </c>
      <c r="L10" s="54">
        <f t="shared" si="10"/>
        <v>190000</v>
      </c>
      <c r="M10" s="54">
        <f t="shared" si="10"/>
        <v>190000</v>
      </c>
      <c r="N10" s="54">
        <f t="shared" si="10"/>
        <v>190000</v>
      </c>
      <c r="O10" s="54">
        <f t="shared" si="10"/>
        <v>190000</v>
      </c>
      <c r="P10" s="54">
        <f t="shared" si="10"/>
        <v>190000</v>
      </c>
      <c r="Q10" s="54">
        <f t="shared" si="10"/>
        <v>190000</v>
      </c>
      <c r="R10" s="54">
        <f t="shared" si="10"/>
        <v>190000</v>
      </c>
      <c r="T10" t="s">
        <v>117</v>
      </c>
    </row>
    <row r="11" spans="1:21" ht="17" customHeight="1" x14ac:dyDescent="0.2">
      <c r="A11" t="s">
        <v>115</v>
      </c>
      <c r="B11" s="49"/>
      <c r="C11" s="49"/>
      <c r="D11" s="49"/>
      <c r="E11" s="49"/>
      <c r="F11" s="50"/>
      <c r="G11" s="50"/>
      <c r="H11" s="51"/>
      <c r="I11" s="11">
        <f>SUM(I6:I10)</f>
        <v>1236348.0889580313</v>
      </c>
      <c r="J11" s="11">
        <f t="shared" ref="J11:R11" si="11">SUM(J6:J10)</f>
        <v>1223792.2978057358</v>
      </c>
      <c r="K11" s="11">
        <f t="shared" si="11"/>
        <v>1211162.3739501841</v>
      </c>
      <c r="L11" s="11">
        <f t="shared" si="11"/>
        <v>1198468.316197939</v>
      </c>
      <c r="M11" s="11">
        <f>SUM(M6:M10)</f>
        <v>1185719.7038469433</v>
      </c>
      <c r="N11" s="11">
        <f t="shared" si="11"/>
        <v>1172925.7106666164</v>
      </c>
      <c r="O11" s="11">
        <f t="shared" si="11"/>
        <v>1160095.1184574233</v>
      </c>
      <c r="P11" s="11">
        <f t="shared" si="11"/>
        <v>1147236.3302018566</v>
      </c>
      <c r="Q11" s="11">
        <f t="shared" si="11"/>
        <v>1134357.3828184318</v>
      </c>
      <c r="R11" s="11">
        <f t="shared" si="11"/>
        <v>1121465.9595299931</v>
      </c>
    </row>
    <row r="12" spans="1:21" ht="17" customHeight="1" x14ac:dyDescent="0.2">
      <c r="A12" t="s">
        <v>116</v>
      </c>
      <c r="B12" s="49"/>
      <c r="C12" s="49"/>
      <c r="D12" s="49"/>
      <c r="E12" s="49">
        <f>E9+E6</f>
        <v>691083</v>
      </c>
      <c r="F12" s="50"/>
      <c r="G12" s="50"/>
      <c r="H12" s="51"/>
      <c r="I12" s="54">
        <f>I9+I6</f>
        <v>750000</v>
      </c>
      <c r="J12" s="54">
        <f>I12</f>
        <v>750000</v>
      </c>
      <c r="K12" s="54">
        <f>J12</f>
        <v>750000</v>
      </c>
      <c r="L12" s="54">
        <f t="shared" ref="L12:R12" si="12">L9+L6</f>
        <v>750000</v>
      </c>
      <c r="M12" s="54">
        <f t="shared" si="12"/>
        <v>745719.70384694333</v>
      </c>
      <c r="N12" s="54">
        <f t="shared" si="12"/>
        <v>732925.71066661645</v>
      </c>
      <c r="O12" s="54">
        <f t="shared" si="12"/>
        <v>720095.11845742329</v>
      </c>
      <c r="P12" s="54">
        <f t="shared" si="12"/>
        <v>707236.33020185656</v>
      </c>
      <c r="Q12" s="54">
        <f t="shared" si="12"/>
        <v>694357.38281843183</v>
      </c>
      <c r="R12" s="54">
        <f t="shared" si="12"/>
        <v>681465.95952999312</v>
      </c>
      <c r="S12" t="s">
        <v>31</v>
      </c>
      <c r="T12" t="s">
        <v>117</v>
      </c>
    </row>
    <row r="13" spans="1:21" x14ac:dyDescent="0.2">
      <c r="A13" t="s">
        <v>11</v>
      </c>
      <c r="B13" s="4">
        <f>SUM(B6:B10)</f>
        <v>1414000</v>
      </c>
      <c r="C13" s="4">
        <f>SUM(C6:C10)</f>
        <v>1266090</v>
      </c>
      <c r="D13" s="4">
        <f>SUM(D6:D10)</f>
        <v>1258550</v>
      </c>
      <c r="E13" s="4">
        <f>SUM(E6:E10)</f>
        <v>1275604</v>
      </c>
      <c r="F13" s="7">
        <f>E13/B13-1</f>
        <v>-9.7875530410183931E-2</v>
      </c>
      <c r="G13" s="7"/>
      <c r="H13" s="8">
        <f t="shared" si="5"/>
        <v>-8.1562942008486603E-3</v>
      </c>
      <c r="I13" s="4">
        <f t="shared" ref="I13:R13" si="13">I3*I4</f>
        <v>1236348.0889580313</v>
      </c>
      <c r="J13" s="4">
        <f t="shared" si="13"/>
        <v>1223792.2978057358</v>
      </c>
      <c r="K13" s="4">
        <f t="shared" si="13"/>
        <v>1211162.3739501841</v>
      </c>
      <c r="L13" s="4">
        <f t="shared" si="13"/>
        <v>1198468.316197939</v>
      </c>
      <c r="M13" s="4">
        <f t="shared" si="13"/>
        <v>1185719.7038469433</v>
      </c>
      <c r="N13" s="4">
        <f t="shared" si="13"/>
        <v>1172925.7106666164</v>
      </c>
      <c r="O13" s="4">
        <f t="shared" si="13"/>
        <v>1160095.1184574233</v>
      </c>
      <c r="P13" s="4">
        <f t="shared" si="13"/>
        <v>1147236.3302018566</v>
      </c>
      <c r="Q13" s="4">
        <f t="shared" si="13"/>
        <v>1134357.3828184318</v>
      </c>
      <c r="R13" s="4">
        <f t="shared" si="13"/>
        <v>1121465.9595299931</v>
      </c>
      <c r="S13" s="13">
        <f>SUM(I13:R13)</f>
        <v>11791571.282433156</v>
      </c>
      <c r="T13" t="s">
        <v>120</v>
      </c>
    </row>
    <row r="14" spans="1:21" s="21" customFormat="1" ht="17" customHeight="1" x14ac:dyDescent="0.2">
      <c r="A14" s="16" t="s">
        <v>13</v>
      </c>
      <c r="B14" s="17"/>
      <c r="C14" s="17"/>
      <c r="D14" s="17"/>
      <c r="E14" s="17"/>
      <c r="F14" s="18"/>
      <c r="G14" s="18"/>
      <c r="H14" s="19"/>
      <c r="I14" s="20"/>
      <c r="J14" s="20"/>
      <c r="K14" s="20"/>
      <c r="L14" s="20"/>
      <c r="M14" s="20"/>
      <c r="N14" s="20"/>
      <c r="O14" s="20"/>
      <c r="P14" s="20"/>
      <c r="Q14" s="20"/>
      <c r="R14" s="20"/>
    </row>
    <row r="15" spans="1:21" x14ac:dyDescent="0.2">
      <c r="A15" s="10" t="s">
        <v>8</v>
      </c>
      <c r="B15" s="4"/>
      <c r="C15" s="4"/>
      <c r="D15" s="4"/>
      <c r="E15" s="4"/>
      <c r="F15" s="7"/>
      <c r="G15" s="7"/>
      <c r="H15" s="8"/>
      <c r="I15" s="11">
        <f>I6</f>
        <v>580901.50889749289</v>
      </c>
      <c r="J15" s="11">
        <f t="shared" ref="J15:R15" si="14">750000-J18</f>
        <v>584778.33833038015</v>
      </c>
      <c r="K15" s="11">
        <f t="shared" si="14"/>
        <v>588566.28579658805</v>
      </c>
      <c r="L15" s="11">
        <f t="shared" si="14"/>
        <v>592267.38904478145</v>
      </c>
      <c r="M15" s="11">
        <f t="shared" si="14"/>
        <v>595883.63910526631</v>
      </c>
      <c r="N15" s="11">
        <f t="shared" si="14"/>
        <v>599416.98136107624</v>
      </c>
      <c r="O15" s="11">
        <f t="shared" si="14"/>
        <v>602869.31659450242</v>
      </c>
      <c r="P15" s="11">
        <f t="shared" si="14"/>
        <v>606242.50200963113</v>
      </c>
      <c r="Q15" s="11">
        <f t="shared" si="14"/>
        <v>609538.35223143722</v>
      </c>
      <c r="R15" s="11">
        <f t="shared" si="14"/>
        <v>612758.64028197282</v>
      </c>
    </row>
    <row r="16" spans="1:21" x14ac:dyDescent="0.2">
      <c r="A16" s="10" t="s">
        <v>89</v>
      </c>
      <c r="B16" s="4"/>
      <c r="C16" s="4"/>
      <c r="D16" s="4"/>
      <c r="E16" s="4"/>
      <c r="F16" s="7"/>
      <c r="G16" s="7"/>
      <c r="H16" s="8"/>
      <c r="I16" s="54">
        <v>250000</v>
      </c>
      <c r="J16" s="12"/>
      <c r="K16" s="12"/>
      <c r="L16" s="12"/>
      <c r="M16" s="12"/>
      <c r="N16" s="12"/>
      <c r="O16" s="12"/>
      <c r="P16" s="12"/>
      <c r="Q16" s="12"/>
      <c r="R16" s="12"/>
    </row>
    <row r="17" spans="1:20" x14ac:dyDescent="0.2">
      <c r="A17" s="10" t="s">
        <v>9</v>
      </c>
      <c r="B17" s="4"/>
      <c r="C17" s="4"/>
      <c r="D17" s="4"/>
      <c r="E17" s="4"/>
      <c r="F17" s="7"/>
      <c r="G17" s="7"/>
      <c r="H17" s="8"/>
      <c r="I17" s="58">
        <f>I8</f>
        <v>46348.088958031265</v>
      </c>
      <c r="J17" s="58">
        <f>J22-J15-J19</f>
        <v>449013.95947535569</v>
      </c>
      <c r="K17" s="58">
        <f t="shared" ref="K17:R17" si="15">K22-K15-K19</f>
        <v>432596.08815359604</v>
      </c>
      <c r="L17" s="58">
        <f t="shared" si="15"/>
        <v>416200.92715315754</v>
      </c>
      <c r="M17" s="58">
        <f t="shared" si="15"/>
        <v>399836.06474167702</v>
      </c>
      <c r="N17" s="58">
        <f t="shared" si="15"/>
        <v>383508.72930554021</v>
      </c>
      <c r="O17" s="58">
        <f t="shared" si="15"/>
        <v>367225.80186292087</v>
      </c>
      <c r="P17" s="58">
        <f t="shared" si="15"/>
        <v>350993.82819222542</v>
      </c>
      <c r="Q17" s="58">
        <f t="shared" si="15"/>
        <v>334819.0305869946</v>
      </c>
      <c r="R17" s="58">
        <f t="shared" si="15"/>
        <v>318707.3192480203</v>
      </c>
    </row>
    <row r="18" spans="1:20" x14ac:dyDescent="0.2">
      <c r="A18" s="14" t="s">
        <v>111</v>
      </c>
      <c r="B18" s="49"/>
      <c r="C18" s="49"/>
      <c r="D18" s="49"/>
      <c r="E18" s="4"/>
      <c r="F18" s="50"/>
      <c r="G18" s="50"/>
      <c r="H18" s="51"/>
      <c r="I18" s="13">
        <f>I9</f>
        <v>169098.49110250713</v>
      </c>
      <c r="J18" s="13">
        <f t="shared" ref="J18:R18" si="16">J9</f>
        <v>165221.66166961991</v>
      </c>
      <c r="K18" s="13">
        <f t="shared" si="16"/>
        <v>161433.714203412</v>
      </c>
      <c r="L18" s="13">
        <f t="shared" si="16"/>
        <v>157732.61095521858</v>
      </c>
      <c r="M18" s="13">
        <f t="shared" si="16"/>
        <v>154116.36089473369</v>
      </c>
      <c r="N18" s="13">
        <f t="shared" si="16"/>
        <v>150583.01863892382</v>
      </c>
      <c r="O18" s="13">
        <f t="shared" si="16"/>
        <v>147130.68340549764</v>
      </c>
      <c r="P18" s="13">
        <f t="shared" si="16"/>
        <v>143757.49799036892</v>
      </c>
      <c r="Q18" s="13">
        <f t="shared" si="16"/>
        <v>140461.64776856275</v>
      </c>
      <c r="R18" s="13">
        <f t="shared" si="16"/>
        <v>137241.35971802715</v>
      </c>
      <c r="T18" s="55" t="s">
        <v>118</v>
      </c>
    </row>
    <row r="19" spans="1:20" ht="17" customHeight="1" x14ac:dyDescent="0.2">
      <c r="A19" s="14" t="s">
        <v>10</v>
      </c>
      <c r="B19" s="4"/>
      <c r="C19" s="4"/>
      <c r="D19" s="4"/>
      <c r="E19" s="4"/>
      <c r="F19" s="7"/>
      <c r="G19" s="7"/>
      <c r="H19" s="8"/>
      <c r="I19" s="54">
        <f>I10</f>
        <v>190000</v>
      </c>
      <c r="J19" s="54">
        <f>I19</f>
        <v>190000</v>
      </c>
      <c r="K19" s="54">
        <f t="shared" ref="K19:R19" si="17">J19</f>
        <v>190000</v>
      </c>
      <c r="L19" s="54">
        <f t="shared" si="17"/>
        <v>190000</v>
      </c>
      <c r="M19" s="54">
        <f t="shared" si="17"/>
        <v>190000</v>
      </c>
      <c r="N19" s="54">
        <f t="shared" si="17"/>
        <v>190000</v>
      </c>
      <c r="O19" s="54">
        <f t="shared" si="17"/>
        <v>190000</v>
      </c>
      <c r="P19" s="54">
        <f t="shared" si="17"/>
        <v>190000</v>
      </c>
      <c r="Q19" s="54">
        <f t="shared" si="17"/>
        <v>190000</v>
      </c>
      <c r="R19" s="54">
        <f t="shared" si="17"/>
        <v>190000</v>
      </c>
      <c r="T19" t="s">
        <v>117</v>
      </c>
    </row>
    <row r="20" spans="1:20" ht="17" customHeight="1" x14ac:dyDescent="0.2">
      <c r="A20" t="s">
        <v>115</v>
      </c>
      <c r="B20" s="49"/>
      <c r="C20" s="49"/>
      <c r="D20" s="49"/>
      <c r="E20" s="49"/>
      <c r="F20" s="50"/>
      <c r="G20" s="50"/>
      <c r="H20" s="51"/>
      <c r="I20" s="11">
        <f>SUM(I15:I19)</f>
        <v>1236348.0889580313</v>
      </c>
      <c r="J20" s="11">
        <f t="shared" ref="J20:R20" si="18">SUM(J15:J19)</f>
        <v>1389013.9594753557</v>
      </c>
      <c r="K20" s="11">
        <f t="shared" si="18"/>
        <v>1372596.088153596</v>
      </c>
      <c r="L20" s="11">
        <f t="shared" si="18"/>
        <v>1356200.9271531575</v>
      </c>
      <c r="M20" s="11">
        <f t="shared" si="18"/>
        <v>1339836.0647416771</v>
      </c>
      <c r="N20" s="11">
        <f t="shared" si="18"/>
        <v>1323508.7293055402</v>
      </c>
      <c r="O20" s="11">
        <f t="shared" si="18"/>
        <v>1307225.8018629209</v>
      </c>
      <c r="P20" s="11">
        <f t="shared" si="18"/>
        <v>1290993.8281922254</v>
      </c>
      <c r="Q20" s="11">
        <f t="shared" si="18"/>
        <v>1274819.0305869945</v>
      </c>
      <c r="R20" s="11">
        <f t="shared" si="18"/>
        <v>1258707.3192480202</v>
      </c>
    </row>
    <row r="21" spans="1:20" ht="17" customHeight="1" x14ac:dyDescent="0.2">
      <c r="A21" t="s">
        <v>116</v>
      </c>
      <c r="B21" s="49"/>
      <c r="C21" s="49"/>
      <c r="D21" s="49"/>
      <c r="E21" s="49">
        <f>E18+E15</f>
        <v>0</v>
      </c>
      <c r="F21" s="50"/>
      <c r="G21" s="50"/>
      <c r="H21" s="51"/>
      <c r="I21" s="54">
        <f>I18+I15</f>
        <v>750000</v>
      </c>
      <c r="J21" s="54">
        <f>I21</f>
        <v>750000</v>
      </c>
      <c r="K21" s="54">
        <f>J21</f>
        <v>750000</v>
      </c>
      <c r="L21" s="54">
        <f t="shared" ref="L21:R21" si="19">L18+L15</f>
        <v>750000</v>
      </c>
      <c r="M21" s="54">
        <f t="shared" si="19"/>
        <v>750000</v>
      </c>
      <c r="N21" s="54">
        <f t="shared" si="19"/>
        <v>750000</v>
      </c>
      <c r="O21" s="54">
        <f t="shared" si="19"/>
        <v>750000</v>
      </c>
      <c r="P21" s="54">
        <f t="shared" si="19"/>
        <v>750000</v>
      </c>
      <c r="Q21" s="54">
        <f t="shared" si="19"/>
        <v>750000</v>
      </c>
      <c r="R21" s="54">
        <f t="shared" si="19"/>
        <v>750000</v>
      </c>
      <c r="S21" t="s">
        <v>31</v>
      </c>
      <c r="T21" t="s">
        <v>117</v>
      </c>
    </row>
    <row r="22" spans="1:20" x14ac:dyDescent="0.2">
      <c r="A22" t="s">
        <v>11</v>
      </c>
      <c r="B22" s="4"/>
      <c r="C22" s="4"/>
      <c r="D22" s="4"/>
      <c r="E22" s="4"/>
      <c r="F22" s="7"/>
      <c r="G22" s="7"/>
      <c r="H22" s="8"/>
      <c r="I22" s="4">
        <f>I13</f>
        <v>1236348.0889580313</v>
      </c>
      <c r="J22" s="4">
        <f t="shared" ref="J22:R22" si="20">J4*J3</f>
        <v>1223792.2978057358</v>
      </c>
      <c r="K22" s="4">
        <f t="shared" si="20"/>
        <v>1211162.3739501841</v>
      </c>
      <c r="L22" s="4">
        <f t="shared" si="20"/>
        <v>1198468.316197939</v>
      </c>
      <c r="M22" s="56">
        <f t="shared" si="20"/>
        <v>1185719.7038469433</v>
      </c>
      <c r="N22" s="56">
        <f t="shared" si="20"/>
        <v>1172925.7106666164</v>
      </c>
      <c r="O22" s="56">
        <f t="shared" si="20"/>
        <v>1160095.1184574233</v>
      </c>
      <c r="P22" s="56">
        <f t="shared" si="20"/>
        <v>1147236.3302018566</v>
      </c>
      <c r="Q22" s="56">
        <f t="shared" si="20"/>
        <v>1134357.3828184318</v>
      </c>
      <c r="R22" s="56">
        <f t="shared" si="20"/>
        <v>1121465.9595299931</v>
      </c>
      <c r="S22" s="13">
        <f>SUM(I22:R22)</f>
        <v>11791571.282433156</v>
      </c>
      <c r="T22" t="s">
        <v>121</v>
      </c>
    </row>
    <row r="23" spans="1:20" s="21" customFormat="1" ht="17" customHeight="1" x14ac:dyDescent="0.2">
      <c r="A23" s="16" t="s">
        <v>15</v>
      </c>
      <c r="B23" s="17"/>
      <c r="C23" s="17"/>
      <c r="D23" s="17"/>
      <c r="E23" s="17"/>
      <c r="F23" s="18"/>
      <c r="G23" s="18"/>
      <c r="H23" s="19"/>
      <c r="I23" s="20"/>
      <c r="J23" s="20"/>
      <c r="K23" s="20"/>
      <c r="L23" s="20"/>
      <c r="M23" s="11"/>
      <c r="N23" s="11"/>
      <c r="O23" s="11"/>
      <c r="P23" s="11"/>
      <c r="Q23" s="11"/>
      <c r="R23" s="11"/>
    </row>
    <row r="24" spans="1:20" ht="18" customHeight="1" x14ac:dyDescent="0.2">
      <c r="A24" t="s">
        <v>7</v>
      </c>
      <c r="B24" s="6"/>
      <c r="C24" s="6"/>
      <c r="D24" s="6"/>
      <c r="E24" s="6"/>
      <c r="F24" s="7"/>
      <c r="G24" s="7"/>
      <c r="H24" s="35">
        <f>H134</f>
        <v>-0.05</v>
      </c>
      <c r="I24" s="9">
        <f>I4</f>
        <v>0.38023006328864567</v>
      </c>
      <c r="J24" s="9">
        <f>I24*(1+$H$24)</f>
        <v>0.36121856012421338</v>
      </c>
      <c r="K24" s="9">
        <f t="shared" ref="K24:R24" si="21">J24*(1+$H$24)</f>
        <v>0.34315763211800271</v>
      </c>
      <c r="L24" s="9">
        <f t="shared" si="21"/>
        <v>0.32599975051210256</v>
      </c>
      <c r="M24" s="9">
        <f t="shared" si="21"/>
        <v>0.30969976298649743</v>
      </c>
      <c r="N24" s="9">
        <f t="shared" si="21"/>
        <v>0.29421477483717257</v>
      </c>
      <c r="O24" s="9">
        <f t="shared" si="21"/>
        <v>0.27950403609531393</v>
      </c>
      <c r="P24" s="9">
        <f t="shared" si="21"/>
        <v>0.26552883429054824</v>
      </c>
      <c r="Q24" s="9">
        <f t="shared" si="21"/>
        <v>0.25225239257602083</v>
      </c>
      <c r="R24" s="9">
        <f t="shared" si="21"/>
        <v>0.23963977294721978</v>
      </c>
    </row>
    <row r="25" spans="1:20" x14ac:dyDescent="0.2">
      <c r="A25" s="10" t="s">
        <v>8</v>
      </c>
      <c r="B25" s="4"/>
      <c r="C25" s="4"/>
      <c r="D25" s="4"/>
      <c r="E25" s="4"/>
      <c r="F25" s="7"/>
      <c r="G25" s="7"/>
      <c r="H25" s="8"/>
      <c r="I25" s="11">
        <f>I6</f>
        <v>580901.50889749289</v>
      </c>
      <c r="J25" s="11">
        <f>750000-J28</f>
        <v>589356.43345261819</v>
      </c>
      <c r="K25" s="11">
        <f t="shared" ref="K25:P25" si="22">750000-K28</f>
        <v>597388.61177998735</v>
      </c>
      <c r="L25" s="11">
        <f t="shared" si="22"/>
        <v>605019.18119098793</v>
      </c>
      <c r="M25" s="11">
        <f t="shared" si="22"/>
        <v>612268.22213143855</v>
      </c>
      <c r="N25" s="11">
        <f t="shared" si="22"/>
        <v>619154.81102486665</v>
      </c>
      <c r="O25" s="11">
        <f t="shared" si="22"/>
        <v>625697.07047362335</v>
      </c>
      <c r="P25" s="11">
        <f t="shared" si="22"/>
        <v>631912.21694994217</v>
      </c>
      <c r="Q25" s="11">
        <f>Q32-Q28-Q29</f>
        <v>603801.00197823741</v>
      </c>
      <c r="R25" s="11">
        <f>R32-R28-R29</f>
        <v>574295.6422295823</v>
      </c>
    </row>
    <row r="26" spans="1:20" x14ac:dyDescent="0.2">
      <c r="A26" s="10" t="s">
        <v>89</v>
      </c>
      <c r="B26" s="4"/>
      <c r="C26" s="4"/>
      <c r="D26" s="4"/>
      <c r="E26" s="4"/>
      <c r="F26" s="7"/>
      <c r="G26" s="7"/>
      <c r="H26" s="8"/>
      <c r="I26" s="54">
        <v>250000</v>
      </c>
      <c r="J26" s="12"/>
      <c r="K26" s="12"/>
      <c r="L26" s="12"/>
      <c r="M26" s="12"/>
      <c r="N26" s="12"/>
      <c r="O26" s="12"/>
      <c r="P26" s="12"/>
      <c r="Q26" s="12"/>
      <c r="R26" s="12"/>
    </row>
    <row r="27" spans="1:20" x14ac:dyDescent="0.2">
      <c r="A27" s="10" t="s">
        <v>9</v>
      </c>
      <c r="B27" s="4"/>
      <c r="C27" s="4"/>
      <c r="D27" s="4"/>
      <c r="E27" s="4"/>
      <c r="F27" s="7"/>
      <c r="G27" s="7"/>
      <c r="H27" s="8"/>
      <c r="I27" s="58">
        <f>I8</f>
        <v>46348.088958031265</v>
      </c>
      <c r="J27" s="58">
        <f>J32-J25-J28-J29</f>
        <v>249882.47331540869</v>
      </c>
      <c r="K27" s="58">
        <f t="shared" ref="K27:P27" si="23">K32-K25-K28-K29</f>
        <v>204972.54901465331</v>
      </c>
      <c r="L27" s="58">
        <f t="shared" si="23"/>
        <v>161578.910960685</v>
      </c>
      <c r="M27" s="58">
        <f t="shared" si="23"/>
        <v>119662.20533957682</v>
      </c>
      <c r="N27" s="58">
        <f t="shared" si="23"/>
        <v>79183.223003177904</v>
      </c>
      <c r="O27" s="58">
        <f t="shared" si="23"/>
        <v>40102.983387069893</v>
      </c>
      <c r="P27" s="58">
        <f t="shared" si="23"/>
        <v>2382.8096750646364</v>
      </c>
      <c r="Q27" s="58"/>
      <c r="R27" s="58"/>
    </row>
    <row r="28" spans="1:20" x14ac:dyDescent="0.2">
      <c r="A28" s="14" t="s">
        <v>111</v>
      </c>
      <c r="B28" s="49"/>
      <c r="C28" s="49"/>
      <c r="D28" s="49"/>
      <c r="E28" s="4"/>
      <c r="F28" s="50"/>
      <c r="G28" s="50"/>
      <c r="H28" s="51"/>
      <c r="I28" s="13">
        <f>I9</f>
        <v>169098.49110250713</v>
      </c>
      <c r="J28" s="11">
        <f>I28*(1+$H$24)</f>
        <v>160643.56654738178</v>
      </c>
      <c r="K28" s="11">
        <f t="shared" ref="K28:R28" si="24">J28*(1+$H$24)</f>
        <v>152611.38822001268</v>
      </c>
      <c r="L28" s="11">
        <f t="shared" si="24"/>
        <v>144980.81880901204</v>
      </c>
      <c r="M28" s="11">
        <f t="shared" si="24"/>
        <v>137731.77786856142</v>
      </c>
      <c r="N28" s="11">
        <f t="shared" si="24"/>
        <v>130845.18897513334</v>
      </c>
      <c r="O28" s="11">
        <f t="shared" si="24"/>
        <v>124302.92952637667</v>
      </c>
      <c r="P28" s="11">
        <f t="shared" si="24"/>
        <v>118087.78305005783</v>
      </c>
      <c r="Q28" s="11">
        <f t="shared" si="24"/>
        <v>112183.39389755492</v>
      </c>
      <c r="R28" s="11">
        <f t="shared" si="24"/>
        <v>106574.22420267717</v>
      </c>
      <c r="T28" s="55" t="s">
        <v>118</v>
      </c>
    </row>
    <row r="29" spans="1:20" x14ac:dyDescent="0.2">
      <c r="A29" s="14" t="s">
        <v>10</v>
      </c>
      <c r="B29" s="4"/>
      <c r="C29" s="4"/>
      <c r="D29" s="4"/>
      <c r="E29" s="4"/>
      <c r="F29" s="7"/>
      <c r="G29" s="7"/>
      <c r="H29" s="8"/>
      <c r="I29" s="54">
        <f>I10</f>
        <v>190000</v>
      </c>
      <c r="J29" s="54">
        <f>I29</f>
        <v>190000</v>
      </c>
      <c r="K29" s="54">
        <f t="shared" ref="K29:R29" si="25">J29</f>
        <v>190000</v>
      </c>
      <c r="L29" s="54">
        <f t="shared" si="25"/>
        <v>190000</v>
      </c>
      <c r="M29" s="54">
        <f t="shared" si="25"/>
        <v>190000</v>
      </c>
      <c r="N29" s="54">
        <f t="shared" si="25"/>
        <v>190000</v>
      </c>
      <c r="O29" s="54">
        <f t="shared" si="25"/>
        <v>190000</v>
      </c>
      <c r="P29" s="54">
        <f t="shared" si="25"/>
        <v>190000</v>
      </c>
      <c r="Q29" s="54">
        <f t="shared" si="25"/>
        <v>190000</v>
      </c>
      <c r="R29" s="54">
        <f t="shared" si="25"/>
        <v>190000</v>
      </c>
      <c r="T29" t="s">
        <v>117</v>
      </c>
    </row>
    <row r="30" spans="1:20" ht="17" customHeight="1" x14ac:dyDescent="0.2">
      <c r="A30" t="s">
        <v>115</v>
      </c>
      <c r="B30" s="49"/>
      <c r="C30" s="49"/>
      <c r="D30" s="49"/>
      <c r="E30" s="49"/>
      <c r="F30" s="50"/>
      <c r="G30" s="50"/>
      <c r="H30" s="51"/>
      <c r="I30" s="11">
        <f>SUM(I25:I29)</f>
        <v>1236348.0889580313</v>
      </c>
      <c r="J30" s="11">
        <f>SUM(J25:J29)</f>
        <v>1189882.4733154087</v>
      </c>
      <c r="K30" s="11">
        <f>SUM(K25:K29)</f>
        <v>1144972.5490146533</v>
      </c>
      <c r="L30" s="11">
        <f t="shared" ref="L30" si="26">SUM(L25:L29)</f>
        <v>1101578.910960685</v>
      </c>
      <c r="M30" s="11">
        <f>SUM(M25:M29)</f>
        <v>1059662.2053395768</v>
      </c>
      <c r="N30" s="11">
        <f t="shared" ref="N30:R30" si="27">SUM(N25:N29)</f>
        <v>1019183.2230031779</v>
      </c>
      <c r="O30" s="11">
        <f t="shared" si="27"/>
        <v>980102.98338706989</v>
      </c>
      <c r="P30" s="11">
        <f t="shared" si="27"/>
        <v>942382.80967506464</v>
      </c>
      <c r="Q30" s="11">
        <f t="shared" si="27"/>
        <v>905984.39587579237</v>
      </c>
      <c r="R30" s="11">
        <f t="shared" si="27"/>
        <v>870869.86643225944</v>
      </c>
    </row>
    <row r="31" spans="1:20" ht="17" customHeight="1" x14ac:dyDescent="0.2">
      <c r="A31" t="s">
        <v>116</v>
      </c>
      <c r="B31" s="49"/>
      <c r="C31" s="49"/>
      <c r="D31" s="49"/>
      <c r="E31" s="49">
        <f>E28+E25</f>
        <v>0</v>
      </c>
      <c r="F31" s="50"/>
      <c r="G31" s="50"/>
      <c r="H31" s="51"/>
      <c r="I31" s="54">
        <f>I28+I25</f>
        <v>750000</v>
      </c>
      <c r="J31" s="54">
        <f>I31</f>
        <v>750000</v>
      </c>
      <c r="K31" s="54">
        <f>J31</f>
        <v>750000</v>
      </c>
      <c r="L31" s="54">
        <f t="shared" ref="L31:R31" si="28">L28+L25</f>
        <v>750000</v>
      </c>
      <c r="M31" s="54">
        <f t="shared" si="28"/>
        <v>750000</v>
      </c>
      <c r="N31" s="54">
        <f t="shared" si="28"/>
        <v>750000</v>
      </c>
      <c r="O31" s="54">
        <f t="shared" si="28"/>
        <v>750000</v>
      </c>
      <c r="P31" s="54">
        <f t="shared" si="28"/>
        <v>750000</v>
      </c>
      <c r="Q31" s="54">
        <f t="shared" si="28"/>
        <v>715984.39587579237</v>
      </c>
      <c r="R31" s="54">
        <f t="shared" si="28"/>
        <v>680869.86643225944</v>
      </c>
      <c r="S31" t="s">
        <v>31</v>
      </c>
      <c r="T31" t="s">
        <v>117</v>
      </c>
    </row>
    <row r="32" spans="1:20" x14ac:dyDescent="0.2">
      <c r="A32" t="s">
        <v>11</v>
      </c>
      <c r="B32" s="4"/>
      <c r="C32" s="4"/>
      <c r="D32" s="4"/>
      <c r="E32" s="4"/>
      <c r="F32" s="7"/>
      <c r="G32" s="7"/>
      <c r="H32" s="8"/>
      <c r="I32" s="4">
        <f>I13</f>
        <v>1236348.0889580313</v>
      </c>
      <c r="J32" s="4">
        <f t="shared" ref="J32:R32" si="29">J24*J3</f>
        <v>1189882.4733154087</v>
      </c>
      <c r="K32" s="4">
        <f t="shared" si="29"/>
        <v>1144972.5490146533</v>
      </c>
      <c r="L32" s="4">
        <f t="shared" si="29"/>
        <v>1101578.910960685</v>
      </c>
      <c r="M32" s="4">
        <f t="shared" si="29"/>
        <v>1059662.2053395768</v>
      </c>
      <c r="N32" s="4">
        <f t="shared" si="29"/>
        <v>1019183.2230031779</v>
      </c>
      <c r="O32" s="4">
        <f t="shared" si="29"/>
        <v>980102.98338706989</v>
      </c>
      <c r="P32" s="4">
        <f t="shared" si="29"/>
        <v>942382.80967506464</v>
      </c>
      <c r="Q32" s="4">
        <f t="shared" si="29"/>
        <v>905984.39587579237</v>
      </c>
      <c r="R32" s="4">
        <f t="shared" si="29"/>
        <v>870869.86643225944</v>
      </c>
      <c r="S32" s="13">
        <f>SUM(I32:R32)</f>
        <v>10450967.50596172</v>
      </c>
    </row>
    <row r="33" spans="1:21" x14ac:dyDescent="0.2">
      <c r="A33" t="s">
        <v>14</v>
      </c>
      <c r="M33" s="46"/>
      <c r="N33" s="46"/>
      <c r="O33" s="46"/>
      <c r="P33" s="46"/>
      <c r="Q33" s="46"/>
      <c r="R33" s="46"/>
      <c r="T33" t="s">
        <v>121</v>
      </c>
    </row>
    <row r="34" spans="1:21" s="21" customFormat="1" ht="17" customHeight="1" x14ac:dyDescent="0.2">
      <c r="A34" s="16" t="s">
        <v>101</v>
      </c>
      <c r="B34" s="17"/>
      <c r="C34" s="17"/>
      <c r="D34" s="17"/>
      <c r="E34" s="17"/>
      <c r="F34" s="18"/>
      <c r="G34" s="18"/>
      <c r="H34" s="19"/>
      <c r="I34" s="20"/>
      <c r="J34" s="20"/>
      <c r="K34" s="20"/>
      <c r="L34" s="20"/>
      <c r="M34" s="11"/>
      <c r="N34" s="11"/>
      <c r="O34" s="11"/>
      <c r="P34" s="11"/>
      <c r="Q34" s="11"/>
      <c r="R34" s="11"/>
    </row>
    <row r="35" spans="1:21" ht="18" customHeight="1" x14ac:dyDescent="0.2">
      <c r="A35" t="s">
        <v>7</v>
      </c>
      <c r="B35" s="6"/>
      <c r="C35" s="6"/>
      <c r="D35" s="6"/>
      <c r="E35" s="6"/>
      <c r="F35" s="7"/>
      <c r="G35" s="7"/>
      <c r="H35" s="35">
        <f>H24</f>
        <v>-0.05</v>
      </c>
      <c r="I35" s="9">
        <f>I24</f>
        <v>0.38023006328864567</v>
      </c>
      <c r="J35" s="9">
        <f>I35*(1+$H$24)</f>
        <v>0.36121856012421338</v>
      </c>
      <c r="K35" s="9">
        <f t="shared" ref="K35:R35" si="30">J35*(1+$H$24)</f>
        <v>0.34315763211800271</v>
      </c>
      <c r="L35" s="9">
        <f t="shared" si="30"/>
        <v>0.32599975051210256</v>
      </c>
      <c r="M35" s="9">
        <f t="shared" si="30"/>
        <v>0.30969976298649743</v>
      </c>
      <c r="N35" s="9">
        <f t="shared" si="30"/>
        <v>0.29421477483717257</v>
      </c>
      <c r="O35" s="9">
        <f t="shared" si="30"/>
        <v>0.27950403609531393</v>
      </c>
      <c r="P35" s="9">
        <f t="shared" si="30"/>
        <v>0.26552883429054824</v>
      </c>
      <c r="Q35" s="9">
        <f t="shared" si="30"/>
        <v>0.25225239257602083</v>
      </c>
      <c r="R35" s="9">
        <f t="shared" si="30"/>
        <v>0.23963977294721978</v>
      </c>
    </row>
    <row r="36" spans="1:21" x14ac:dyDescent="0.2">
      <c r="A36" s="10" t="s">
        <v>8</v>
      </c>
      <c r="B36" s="4"/>
      <c r="C36" s="4"/>
      <c r="D36" s="4"/>
      <c r="E36" s="4"/>
      <c r="F36" s="7"/>
      <c r="G36" s="7"/>
      <c r="H36" s="8"/>
      <c r="I36" s="11">
        <f>I6</f>
        <v>580901.50889749289</v>
      </c>
      <c r="J36" s="11">
        <f>J43-J37-J39-J40</f>
        <v>589238.90676802688</v>
      </c>
      <c r="K36" s="11">
        <f t="shared" ref="K36:R36" si="31">K43-K37-K39-K40</f>
        <v>552361.16079464066</v>
      </c>
      <c r="L36" s="11">
        <f t="shared" si="31"/>
        <v>516598.09215167293</v>
      </c>
      <c r="M36" s="11">
        <f t="shared" si="31"/>
        <v>481930.42747101537</v>
      </c>
      <c r="N36" s="11">
        <f t="shared" si="31"/>
        <v>448338.03402804455</v>
      </c>
      <c r="O36" s="11">
        <f t="shared" si="31"/>
        <v>415800.05386069324</v>
      </c>
      <c r="P36" s="11">
        <f t="shared" si="31"/>
        <v>384295.02662500681</v>
      </c>
      <c r="Q36" s="11">
        <f t="shared" si="31"/>
        <v>353801.00197823741</v>
      </c>
      <c r="R36" s="11">
        <f t="shared" si="31"/>
        <v>324295.6422295823</v>
      </c>
      <c r="S36" t="s">
        <v>88</v>
      </c>
    </row>
    <row r="37" spans="1:21" x14ac:dyDescent="0.2">
      <c r="A37" s="10" t="s">
        <v>89</v>
      </c>
      <c r="B37" s="4"/>
      <c r="C37" s="4"/>
      <c r="D37" s="4"/>
      <c r="E37" s="4"/>
      <c r="F37" s="7"/>
      <c r="G37" s="7"/>
      <c r="H37" s="8"/>
      <c r="I37" s="54">
        <v>250000</v>
      </c>
      <c r="J37" s="54">
        <f>I37</f>
        <v>250000</v>
      </c>
      <c r="K37" s="54">
        <f t="shared" ref="K37:R37" si="32">J37</f>
        <v>250000</v>
      </c>
      <c r="L37" s="54">
        <f t="shared" si="32"/>
        <v>250000</v>
      </c>
      <c r="M37" s="54">
        <f t="shared" si="32"/>
        <v>250000</v>
      </c>
      <c r="N37" s="54">
        <f t="shared" si="32"/>
        <v>250000</v>
      </c>
      <c r="O37" s="54">
        <f t="shared" si="32"/>
        <v>250000</v>
      </c>
      <c r="P37" s="54">
        <f t="shared" si="32"/>
        <v>250000</v>
      </c>
      <c r="Q37" s="54">
        <f t="shared" si="32"/>
        <v>250000</v>
      </c>
      <c r="R37" s="54">
        <f t="shared" si="32"/>
        <v>250000</v>
      </c>
      <c r="S37" t="s">
        <v>31</v>
      </c>
    </row>
    <row r="38" spans="1:21" x14ac:dyDescent="0.2">
      <c r="A38" s="10" t="s">
        <v>9</v>
      </c>
      <c r="B38" s="4"/>
      <c r="C38" s="4"/>
      <c r="D38" s="4"/>
      <c r="E38" s="4"/>
      <c r="F38" s="7"/>
      <c r="G38" s="7"/>
      <c r="H38" s="8"/>
      <c r="I38" s="58">
        <f>I8</f>
        <v>46348.088958031265</v>
      </c>
      <c r="J38" s="58"/>
      <c r="K38" s="58"/>
      <c r="L38" s="58"/>
      <c r="M38" s="58"/>
      <c r="N38" s="58"/>
      <c r="O38" s="58"/>
      <c r="P38" s="58"/>
      <c r="Q38" s="58"/>
      <c r="R38" s="58"/>
    </row>
    <row r="39" spans="1:21" x14ac:dyDescent="0.2">
      <c r="A39" s="14" t="s">
        <v>111</v>
      </c>
      <c r="B39" s="49"/>
      <c r="C39" s="49"/>
      <c r="D39" s="49"/>
      <c r="E39" s="4"/>
      <c r="F39" s="50"/>
      <c r="G39" s="50"/>
      <c r="H39" s="51"/>
      <c r="I39" s="13">
        <f>I9</f>
        <v>169098.49110250713</v>
      </c>
      <c r="J39" s="13">
        <f>J28</f>
        <v>160643.56654738178</v>
      </c>
      <c r="K39" s="13">
        <f t="shared" ref="K39:R39" si="33">K28</f>
        <v>152611.38822001268</v>
      </c>
      <c r="L39" s="13">
        <f t="shared" si="33"/>
        <v>144980.81880901204</v>
      </c>
      <c r="M39" s="13">
        <f t="shared" si="33"/>
        <v>137731.77786856142</v>
      </c>
      <c r="N39" s="13">
        <f t="shared" si="33"/>
        <v>130845.18897513334</v>
      </c>
      <c r="O39" s="13">
        <f t="shared" si="33"/>
        <v>124302.92952637667</v>
      </c>
      <c r="P39" s="13">
        <f t="shared" si="33"/>
        <v>118087.78305005783</v>
      </c>
      <c r="Q39" s="13">
        <f t="shared" si="33"/>
        <v>112183.39389755492</v>
      </c>
      <c r="R39" s="13">
        <f t="shared" si="33"/>
        <v>106574.22420267717</v>
      </c>
      <c r="T39" s="55" t="s">
        <v>118</v>
      </c>
    </row>
    <row r="40" spans="1:21" x14ac:dyDescent="0.2">
      <c r="A40" s="14" t="s">
        <v>10</v>
      </c>
      <c r="B40" s="4"/>
      <c r="C40" s="4"/>
      <c r="D40" s="4"/>
      <c r="E40" s="4"/>
      <c r="F40" s="7"/>
      <c r="G40" s="7"/>
      <c r="H40" s="8"/>
      <c r="I40" s="54">
        <f>I19</f>
        <v>190000</v>
      </c>
      <c r="J40" s="54">
        <f>I40</f>
        <v>190000</v>
      </c>
      <c r="K40" s="54">
        <f t="shared" ref="K40:R40" si="34">J40</f>
        <v>190000</v>
      </c>
      <c r="L40" s="54">
        <f t="shared" si="34"/>
        <v>190000</v>
      </c>
      <c r="M40" s="54">
        <f t="shared" si="34"/>
        <v>190000</v>
      </c>
      <c r="N40" s="54">
        <f t="shared" si="34"/>
        <v>190000</v>
      </c>
      <c r="O40" s="54">
        <f t="shared" si="34"/>
        <v>190000</v>
      </c>
      <c r="P40" s="54">
        <f t="shared" si="34"/>
        <v>190000</v>
      </c>
      <c r="Q40" s="54">
        <f t="shared" si="34"/>
        <v>190000</v>
      </c>
      <c r="R40" s="54">
        <f t="shared" si="34"/>
        <v>190000</v>
      </c>
      <c r="T40" t="s">
        <v>117</v>
      </c>
    </row>
    <row r="41" spans="1:21" ht="17" customHeight="1" x14ac:dyDescent="0.2">
      <c r="A41" t="s">
        <v>115</v>
      </c>
      <c r="B41" s="49"/>
      <c r="C41" s="49"/>
      <c r="D41" s="49"/>
      <c r="E41" s="49"/>
      <c r="F41" s="50"/>
      <c r="G41" s="50"/>
      <c r="H41" s="51"/>
      <c r="I41" s="11">
        <f>SUM(I36:I40)</f>
        <v>1236348.0889580313</v>
      </c>
      <c r="J41" s="11">
        <f t="shared" ref="J41:R41" si="35">SUM(J36:J40)</f>
        <v>1189882.4733154087</v>
      </c>
      <c r="K41" s="11">
        <f t="shared" si="35"/>
        <v>1144972.5490146533</v>
      </c>
      <c r="L41" s="11">
        <f t="shared" si="35"/>
        <v>1101578.910960685</v>
      </c>
      <c r="M41" s="11">
        <f t="shared" si="35"/>
        <v>1059662.2053395768</v>
      </c>
      <c r="N41" s="11">
        <f t="shared" si="35"/>
        <v>1019183.2230031779</v>
      </c>
      <c r="O41" s="11">
        <f t="shared" si="35"/>
        <v>980102.98338706989</v>
      </c>
      <c r="P41" s="11">
        <f t="shared" si="35"/>
        <v>942382.80967506464</v>
      </c>
      <c r="Q41" s="11">
        <f t="shared" si="35"/>
        <v>905984.39587579237</v>
      </c>
      <c r="R41" s="11">
        <f t="shared" si="35"/>
        <v>870869.86643225944</v>
      </c>
    </row>
    <row r="42" spans="1:21" ht="17" customHeight="1" x14ac:dyDescent="0.2">
      <c r="A42" t="s">
        <v>116</v>
      </c>
      <c r="B42" s="49"/>
      <c r="C42" s="49"/>
      <c r="D42" s="49"/>
      <c r="E42" s="49">
        <f>E39+E36</f>
        <v>0</v>
      </c>
      <c r="F42" s="50"/>
      <c r="G42" s="50"/>
      <c r="H42" s="51"/>
      <c r="I42" s="54">
        <f>I39+I36</f>
        <v>750000</v>
      </c>
      <c r="J42" s="54">
        <f>J36+J39</f>
        <v>749882.47331540869</v>
      </c>
      <c r="K42" s="54">
        <f t="shared" ref="K42:R42" si="36">K36+K39</f>
        <v>704972.54901465331</v>
      </c>
      <c r="L42" s="54">
        <f t="shared" si="36"/>
        <v>661578.910960685</v>
      </c>
      <c r="M42" s="54">
        <f t="shared" si="36"/>
        <v>619662.20533957682</v>
      </c>
      <c r="N42" s="54">
        <f t="shared" si="36"/>
        <v>579183.2230031779</v>
      </c>
      <c r="O42" s="54">
        <f t="shared" si="36"/>
        <v>540102.98338706989</v>
      </c>
      <c r="P42" s="54">
        <f t="shared" si="36"/>
        <v>502382.80967506464</v>
      </c>
      <c r="Q42" s="54">
        <f t="shared" si="36"/>
        <v>465984.39587579237</v>
      </c>
      <c r="R42" s="54">
        <f t="shared" si="36"/>
        <v>430869.86643225944</v>
      </c>
      <c r="T42" t="s">
        <v>117</v>
      </c>
      <c r="U42" t="s">
        <v>122</v>
      </c>
    </row>
    <row r="43" spans="1:21" x14ac:dyDescent="0.2">
      <c r="A43" t="s">
        <v>11</v>
      </c>
      <c r="B43" s="4"/>
      <c r="C43" s="4"/>
      <c r="D43" s="4"/>
      <c r="E43" s="4"/>
      <c r="F43" s="7"/>
      <c r="G43" s="7"/>
      <c r="H43" s="8"/>
      <c r="I43" s="4">
        <f>I32</f>
        <v>1236348.0889580313</v>
      </c>
      <c r="J43" s="4">
        <f t="shared" ref="J43:R43" si="37">J32</f>
        <v>1189882.4733154087</v>
      </c>
      <c r="K43" s="4">
        <f t="shared" si="37"/>
        <v>1144972.5490146533</v>
      </c>
      <c r="L43" s="4">
        <f t="shared" si="37"/>
        <v>1101578.910960685</v>
      </c>
      <c r="M43" s="4">
        <f t="shared" si="37"/>
        <v>1059662.2053395768</v>
      </c>
      <c r="N43" s="4">
        <f t="shared" si="37"/>
        <v>1019183.2230031779</v>
      </c>
      <c r="O43" s="4">
        <f t="shared" si="37"/>
        <v>980102.98338706989</v>
      </c>
      <c r="P43" s="4">
        <f t="shared" si="37"/>
        <v>942382.80967506464</v>
      </c>
      <c r="Q43" s="4">
        <f t="shared" si="37"/>
        <v>905984.39587579237</v>
      </c>
      <c r="R43" s="4">
        <f t="shared" si="37"/>
        <v>870869.86643225944</v>
      </c>
      <c r="S43" s="13">
        <f>SUM(I43:R43)</f>
        <v>10450967.50596172</v>
      </c>
    </row>
    <row r="44" spans="1:21" x14ac:dyDescent="0.2">
      <c r="A44" t="s">
        <v>14</v>
      </c>
      <c r="M44" s="11"/>
      <c r="N44" s="11"/>
      <c r="O44" s="11"/>
      <c r="P44" s="11"/>
      <c r="Q44" s="11"/>
      <c r="R44" s="11"/>
      <c r="T44" t="s">
        <v>120</v>
      </c>
    </row>
    <row r="46" spans="1:21" s="21" customFormat="1" ht="17" customHeight="1" x14ac:dyDescent="0.2">
      <c r="A46" s="16" t="s">
        <v>16</v>
      </c>
      <c r="B46" s="17"/>
      <c r="C46" s="17"/>
      <c r="D46" s="17"/>
      <c r="E46" s="17"/>
      <c r="F46" s="18"/>
      <c r="G46" s="18"/>
      <c r="H46" s="19"/>
      <c r="I46" s="20"/>
      <c r="J46" s="20"/>
      <c r="K46" s="20"/>
      <c r="L46" s="20"/>
      <c r="M46" s="20"/>
      <c r="N46" s="20"/>
      <c r="O46" s="20"/>
      <c r="P46" s="20"/>
      <c r="Q46" s="20"/>
      <c r="R46" s="20"/>
    </row>
    <row r="47" spans="1:21" ht="17" customHeight="1" x14ac:dyDescent="0.2">
      <c r="A47" s="22" t="s">
        <v>17</v>
      </c>
      <c r="B47" s="22"/>
      <c r="C47" s="22"/>
      <c r="D47" s="23"/>
      <c r="E47" s="23"/>
      <c r="F47" s="23"/>
      <c r="G47" s="23"/>
      <c r="H47" s="23" t="s">
        <v>18</v>
      </c>
      <c r="I47" s="60"/>
      <c r="J47" s="23"/>
      <c r="K47" s="23"/>
      <c r="L47" s="23"/>
      <c r="M47" s="23"/>
      <c r="N47" s="23"/>
      <c r="O47" s="23"/>
      <c r="P47" s="23"/>
      <c r="Q47" s="23"/>
      <c r="R47" s="23"/>
      <c r="S47" s="23"/>
    </row>
    <row r="48" spans="1:21" x14ac:dyDescent="0.2">
      <c r="A48" s="23" t="s">
        <v>19</v>
      </c>
      <c r="B48" s="23"/>
      <c r="C48" s="23"/>
      <c r="D48" s="23"/>
      <c r="E48" s="23"/>
      <c r="F48" s="23"/>
      <c r="G48" s="23"/>
      <c r="H48" s="30">
        <v>123</v>
      </c>
      <c r="I48" s="24">
        <f t="shared" ref="I48:R48" si="38">I6*($H$48*(1+0.02*(I2-2024)))</f>
        <v>75737938.730055124</v>
      </c>
      <c r="J48" s="24">
        <f t="shared" si="38"/>
        <v>77681954.463807702</v>
      </c>
      <c r="K48" s="24">
        <f t="shared" si="38"/>
        <v>79633018.468278363</v>
      </c>
      <c r="L48" s="24">
        <f t="shared" si="38"/>
        <v>81590755.514809102</v>
      </c>
      <c r="M48" s="24">
        <f t="shared" si="38"/>
        <v>82954620.748758852</v>
      </c>
      <c r="N48" s="24">
        <f t="shared" si="38"/>
        <v>83088655.298511177</v>
      </c>
      <c r="O48" s="24">
        <f t="shared" si="38"/>
        <v>83160058.103436485</v>
      </c>
      <c r="P48" s="24">
        <f t="shared" si="38"/>
        <v>83169475.634415582</v>
      </c>
      <c r="Q48" s="24">
        <f t="shared" si="38"/>
        <v>83117594.001583353</v>
      </c>
      <c r="R48" s="24">
        <f t="shared" si="38"/>
        <v>83005135.963321045</v>
      </c>
      <c r="S48" s="23"/>
    </row>
    <row r="49" spans="1:19" x14ac:dyDescent="0.2">
      <c r="A49" s="23" t="s">
        <v>74</v>
      </c>
      <c r="B49" s="23"/>
      <c r="C49" s="23"/>
      <c r="D49" s="23"/>
      <c r="E49" s="23"/>
      <c r="F49" s="23"/>
      <c r="G49" s="23"/>
      <c r="H49" s="30">
        <v>123</v>
      </c>
      <c r="I49" s="24">
        <f>I7*($H$49*(1+0.05*(I2-2024)))</f>
        <v>35362500</v>
      </c>
      <c r="J49" s="24">
        <f>J7*($H$49*(1+0.05*(J2-2024)))</f>
        <v>36900000</v>
      </c>
      <c r="K49" s="24">
        <f t="shared" ref="K49:R49" si="39">K7*($H$49*(1+0.05*(K2-2024)))</f>
        <v>38437500</v>
      </c>
      <c r="L49" s="24">
        <f t="shared" si="39"/>
        <v>39975000</v>
      </c>
      <c r="M49" s="24">
        <f t="shared" si="39"/>
        <v>41512500</v>
      </c>
      <c r="N49" s="24">
        <f t="shared" si="39"/>
        <v>43050000</v>
      </c>
      <c r="O49" s="24">
        <f t="shared" si="39"/>
        <v>44587500</v>
      </c>
      <c r="P49" s="24">
        <f t="shared" si="39"/>
        <v>46125000</v>
      </c>
      <c r="Q49" s="24">
        <f t="shared" si="39"/>
        <v>47662500</v>
      </c>
      <c r="R49" s="24">
        <f t="shared" si="39"/>
        <v>49200000</v>
      </c>
      <c r="S49" s="23"/>
    </row>
    <row r="50" spans="1:19" x14ac:dyDescent="0.2">
      <c r="A50" s="23" t="s">
        <v>20</v>
      </c>
      <c r="B50" s="23"/>
      <c r="C50" s="23"/>
      <c r="D50" s="23"/>
      <c r="E50" s="23"/>
      <c r="F50" s="23"/>
      <c r="G50" s="23"/>
      <c r="H50" s="30">
        <v>231</v>
      </c>
      <c r="I50" s="24">
        <f>I8*($H$50*(1+0.02*(I2-2024)))</f>
        <v>11348793.062263535</v>
      </c>
      <c r="J50" s="24">
        <f>J8*($H$50*(1+0.02*(J2-2024)))</f>
        <v>8430502.4565749783</v>
      </c>
      <c r="K50" s="24">
        <f>K8*($H$50*(1+0.02*(K2-2024)))</f>
        <v>5377359.2207417777</v>
      </c>
      <c r="L50" s="24">
        <f>L8*($H$50*(1+0.05*(L2-2024)))</f>
        <v>2543035.3542410769</v>
      </c>
      <c r="M50" s="24">
        <f t="shared" ref="M50:R50" si="40">M8*($H$50*(1+0.02*(M2-2024)))</f>
        <v>0</v>
      </c>
      <c r="N50" s="24">
        <f t="shared" si="40"/>
        <v>0</v>
      </c>
      <c r="O50" s="24">
        <f t="shared" si="40"/>
        <v>0</v>
      </c>
      <c r="P50" s="24">
        <f t="shared" si="40"/>
        <v>0</v>
      </c>
      <c r="Q50" s="24">
        <f t="shared" si="40"/>
        <v>0</v>
      </c>
      <c r="R50" s="24">
        <f t="shared" si="40"/>
        <v>0</v>
      </c>
      <c r="S50" s="23"/>
    </row>
    <row r="51" spans="1:19" x14ac:dyDescent="0.2">
      <c r="A51" s="22" t="s">
        <v>21</v>
      </c>
      <c r="B51" s="22"/>
      <c r="C51" s="22"/>
      <c r="D51" s="22"/>
      <c r="E51" s="22"/>
      <c r="F51" s="22"/>
      <c r="G51" s="22"/>
      <c r="H51" s="22"/>
      <c r="I51" s="26">
        <f>SUM(I48:I50)</f>
        <v>122449231.79231866</v>
      </c>
      <c r="J51" s="26">
        <f t="shared" ref="J51:R51" si="41">SUM(J48:J50)</f>
        <v>123012456.92038268</v>
      </c>
      <c r="K51" s="26">
        <f t="shared" si="41"/>
        <v>123447877.68902014</v>
      </c>
      <c r="L51" s="26">
        <f t="shared" si="41"/>
        <v>124108790.86905017</v>
      </c>
      <c r="M51" s="26">
        <f t="shared" si="41"/>
        <v>124467120.74875885</v>
      </c>
      <c r="N51" s="26">
        <f t="shared" si="41"/>
        <v>126138655.29851118</v>
      </c>
      <c r="O51" s="26">
        <f t="shared" si="41"/>
        <v>127747558.10343648</v>
      </c>
      <c r="P51" s="26">
        <f t="shared" si="41"/>
        <v>129294475.63441558</v>
      </c>
      <c r="Q51" s="26">
        <f t="shared" si="41"/>
        <v>130780094.00158335</v>
      </c>
      <c r="R51" s="26">
        <f t="shared" si="41"/>
        <v>132205135.96332105</v>
      </c>
      <c r="S51" s="23"/>
    </row>
    <row r="52" spans="1:19" x14ac:dyDescent="0.2">
      <c r="A52" s="22" t="s">
        <v>25</v>
      </c>
      <c r="J52" s="23"/>
      <c r="K52" s="23"/>
      <c r="L52" s="23"/>
      <c r="M52" s="23"/>
      <c r="N52" s="23"/>
      <c r="O52" s="23"/>
      <c r="P52" s="23"/>
      <c r="Q52" s="23"/>
      <c r="S52" s="26">
        <f>SUM(I51:R51)</f>
        <v>1263651397.0207982</v>
      </c>
    </row>
    <row r="53" spans="1:19" x14ac:dyDescent="0.2">
      <c r="A53" s="23" t="s">
        <v>81</v>
      </c>
      <c r="B53" s="23"/>
      <c r="C53" s="23"/>
      <c r="D53" s="23"/>
      <c r="E53" s="23"/>
      <c r="F53" s="33">
        <v>220000000</v>
      </c>
      <c r="G53" s="33"/>
      <c r="H53" s="23"/>
      <c r="I53" s="27">
        <f>F53/20</f>
        <v>11000000</v>
      </c>
      <c r="J53" s="27">
        <f>I53</f>
        <v>11000000</v>
      </c>
      <c r="K53" s="27">
        <f t="shared" ref="K53:R53" si="42">J53</f>
        <v>11000000</v>
      </c>
      <c r="L53" s="27">
        <f t="shared" si="42"/>
        <v>11000000</v>
      </c>
      <c r="M53" s="27">
        <f t="shared" si="42"/>
        <v>11000000</v>
      </c>
      <c r="N53" s="27">
        <f t="shared" si="42"/>
        <v>11000000</v>
      </c>
      <c r="O53" s="27">
        <f t="shared" si="42"/>
        <v>11000000</v>
      </c>
      <c r="P53" s="27">
        <f t="shared" si="42"/>
        <v>11000000</v>
      </c>
      <c r="Q53" s="27">
        <f t="shared" si="42"/>
        <v>11000000</v>
      </c>
      <c r="R53" s="27">
        <f t="shared" si="42"/>
        <v>11000000</v>
      </c>
      <c r="S53" s="23" t="s">
        <v>127</v>
      </c>
    </row>
    <row r="54" spans="1:19" x14ac:dyDescent="0.2">
      <c r="A54" s="22" t="s">
        <v>24</v>
      </c>
      <c r="B54" s="23"/>
      <c r="C54" s="23"/>
      <c r="D54" s="23"/>
      <c r="E54" s="23"/>
      <c r="F54" s="23"/>
      <c r="G54" s="23"/>
      <c r="H54" s="23"/>
      <c r="I54" s="28">
        <f>SUM(I53+I51)</f>
        <v>133449231.79231866</v>
      </c>
      <c r="J54" s="28">
        <f t="shared" ref="J54:R54" si="43">SUM(J53+J51)</f>
        <v>134012456.92038268</v>
      </c>
      <c r="K54" s="28">
        <f t="shared" si="43"/>
        <v>134447877.68902016</v>
      </c>
      <c r="L54" s="28">
        <f t="shared" si="43"/>
        <v>135108790.86905017</v>
      </c>
      <c r="M54" s="28">
        <f t="shared" si="43"/>
        <v>135467120.74875885</v>
      </c>
      <c r="N54" s="28">
        <f t="shared" si="43"/>
        <v>137138655.29851118</v>
      </c>
      <c r="O54" s="28">
        <f t="shared" si="43"/>
        <v>138747558.10343647</v>
      </c>
      <c r="P54" s="28">
        <f t="shared" si="43"/>
        <v>140294475.63441557</v>
      </c>
      <c r="Q54" s="28">
        <f t="shared" si="43"/>
        <v>141780094.00158334</v>
      </c>
      <c r="R54" s="28">
        <f t="shared" si="43"/>
        <v>143205135.96332103</v>
      </c>
    </row>
    <row r="55" spans="1:19" x14ac:dyDescent="0.2">
      <c r="A55" s="15" t="s">
        <v>26</v>
      </c>
      <c r="S55" s="26">
        <f>SUM(I54:R54)</f>
        <v>1373651397.020798</v>
      </c>
    </row>
    <row r="56" spans="1:19" x14ac:dyDescent="0.2">
      <c r="A56" s="22" t="s">
        <v>27</v>
      </c>
      <c r="B56" s="22"/>
      <c r="C56" s="22"/>
      <c r="D56" s="23"/>
      <c r="E56" s="23"/>
      <c r="F56" s="23"/>
      <c r="G56" s="23"/>
      <c r="H56" s="23" t="s">
        <v>28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</row>
    <row r="57" spans="1:19" x14ac:dyDescent="0.2">
      <c r="A57" s="23" t="s">
        <v>19</v>
      </c>
      <c r="B57" s="23"/>
      <c r="C57" s="23"/>
      <c r="D57" s="23"/>
      <c r="E57" s="23"/>
      <c r="F57" s="23"/>
      <c r="G57" s="23"/>
      <c r="H57" s="24">
        <f>'Disposal costs'!F12</f>
        <v>47.643125769627581</v>
      </c>
      <c r="I57" s="24">
        <f>I6*($H$57*(1+0.02*(I2-2022)))</f>
        <v>30443560.01298666</v>
      </c>
      <c r="J57" s="24">
        <f t="shared" ref="J57:R57" si="44">J6*$H$57*(1+0.02*(I2-2022))</f>
        <v>30646734.712470945</v>
      </c>
      <c r="K57" s="24">
        <f t="shared" si="44"/>
        <v>31406074.087325752</v>
      </c>
      <c r="L57" s="24">
        <f t="shared" si="44"/>
        <v>32167915.464280803</v>
      </c>
      <c r="M57" s="24">
        <f t="shared" si="44"/>
        <v>32695565.669844918</v>
      </c>
      <c r="N57" s="24">
        <f t="shared" si="44"/>
        <v>32738658.818412658</v>
      </c>
      <c r="O57" s="24">
        <f t="shared" si="44"/>
        <v>32757379.968843009</v>
      </c>
      <c r="P57" s="24">
        <f t="shared" si="44"/>
        <v>32751989.303321239</v>
      </c>
      <c r="Q57" s="24">
        <f t="shared" si="44"/>
        <v>32722761.968619119</v>
      </c>
      <c r="R57" s="24">
        <f t="shared" si="44"/>
        <v>32669986.930266082</v>
      </c>
      <c r="S57" s="23" t="s">
        <v>123</v>
      </c>
    </row>
    <row r="58" spans="1:19" x14ac:dyDescent="0.2">
      <c r="A58" s="23" t="s">
        <v>74</v>
      </c>
      <c r="B58" s="23"/>
      <c r="C58" s="23"/>
      <c r="D58" s="23"/>
      <c r="E58" s="23"/>
      <c r="F58" s="23"/>
      <c r="G58" s="23"/>
      <c r="H58" s="24">
        <f>'Disposal costs'!F13</f>
        <v>78.280771161677052</v>
      </c>
      <c r="I58" s="24">
        <f>I7*($H$58*(1+0.05*(I2-2022)))</f>
        <v>24462740.988024082</v>
      </c>
      <c r="J58" s="24">
        <f t="shared" ref="J58:R58" si="45">J7*($H$58*(1+0.05*(J2-2022)))</f>
        <v>25441250.62754504</v>
      </c>
      <c r="K58" s="24">
        <f t="shared" si="45"/>
        <v>26419760.267066006</v>
      </c>
      <c r="L58" s="24">
        <f t="shared" si="45"/>
        <v>27398269.906586967</v>
      </c>
      <c r="M58" s="24">
        <f t="shared" si="45"/>
        <v>28376779.546107929</v>
      </c>
      <c r="N58" s="24">
        <f t="shared" si="45"/>
        <v>29355289.185628895</v>
      </c>
      <c r="O58" s="24">
        <f t="shared" si="45"/>
        <v>30333798.82514986</v>
      </c>
      <c r="P58" s="24">
        <f t="shared" si="45"/>
        <v>31312308.464670822</v>
      </c>
      <c r="Q58" s="24">
        <f t="shared" si="45"/>
        <v>32290818.104191784</v>
      </c>
      <c r="R58" s="24">
        <f t="shared" si="45"/>
        <v>33269327.743712749</v>
      </c>
      <c r="S58" s="23"/>
    </row>
    <row r="59" spans="1:19" x14ac:dyDescent="0.2">
      <c r="A59" s="23" t="s">
        <v>20</v>
      </c>
      <c r="B59" s="23"/>
      <c r="C59" s="23"/>
      <c r="D59" s="23"/>
      <c r="E59" s="23"/>
      <c r="F59" s="23"/>
      <c r="G59" s="23"/>
      <c r="H59" s="24">
        <f>'Disposal costs'!F14</f>
        <v>117.41999999999999</v>
      </c>
      <c r="I59" s="24">
        <f t="shared" ref="I59:R59" si="46">I8*($H$59*(1+0.02*(I2-2022)))</f>
        <v>5986411.8659972344</v>
      </c>
      <c r="J59" s="24">
        <f t="shared" si="46"/>
        <v>4444038.6013514427</v>
      </c>
      <c r="K59" s="24">
        <f t="shared" si="46"/>
        <v>2832769.9821229023</v>
      </c>
      <c r="L59" s="24">
        <f t="shared" si="46"/>
        <v>1153445.6380359146</v>
      </c>
      <c r="M59" s="24">
        <f t="shared" si="46"/>
        <v>0</v>
      </c>
      <c r="N59" s="24">
        <f t="shared" si="46"/>
        <v>0</v>
      </c>
      <c r="O59" s="24">
        <f t="shared" si="46"/>
        <v>0</v>
      </c>
      <c r="P59" s="24">
        <f t="shared" si="46"/>
        <v>0</v>
      </c>
      <c r="Q59" s="24">
        <f t="shared" si="46"/>
        <v>0</v>
      </c>
      <c r="R59" s="24">
        <f t="shared" si="46"/>
        <v>0</v>
      </c>
      <c r="S59" s="23"/>
    </row>
    <row r="60" spans="1:19" x14ac:dyDescent="0.2">
      <c r="A60" s="22" t="s">
        <v>21</v>
      </c>
      <c r="B60" s="22"/>
      <c r="C60" s="22"/>
      <c r="D60" s="22"/>
      <c r="E60" s="22"/>
      <c r="F60" s="22"/>
      <c r="G60" s="22"/>
      <c r="H60" s="22"/>
      <c r="I60" s="26">
        <f>SUM(I57:I59)</f>
        <v>60892712.867007978</v>
      </c>
      <c r="J60" s="26">
        <f t="shared" ref="J60:R60" si="47">SUM(J57:J59)</f>
        <v>60532023.941367425</v>
      </c>
      <c r="K60" s="26">
        <f t="shared" si="47"/>
        <v>60658604.336514659</v>
      </c>
      <c r="L60" s="26">
        <f t="shared" si="47"/>
        <v>60719631.00890369</v>
      </c>
      <c r="M60" s="26">
        <f t="shared" si="47"/>
        <v>61072345.215952843</v>
      </c>
      <c r="N60" s="26">
        <f t="shared" si="47"/>
        <v>62093948.004041553</v>
      </c>
      <c r="O60" s="26">
        <f t="shared" si="47"/>
        <v>63091178.79399287</v>
      </c>
      <c r="P60" s="26">
        <f t="shared" si="47"/>
        <v>64064297.767992064</v>
      </c>
      <c r="Q60" s="26">
        <f t="shared" si="47"/>
        <v>65013580.072810903</v>
      </c>
      <c r="R60" s="26">
        <f t="shared" si="47"/>
        <v>65939314.673978835</v>
      </c>
      <c r="S60" s="23"/>
    </row>
    <row r="61" spans="1:19" x14ac:dyDescent="0.2">
      <c r="A61" s="22" t="s">
        <v>80</v>
      </c>
      <c r="J61" s="23"/>
      <c r="K61" s="23"/>
      <c r="L61" s="23"/>
      <c r="M61" s="23"/>
      <c r="N61" s="23"/>
      <c r="O61" s="23"/>
      <c r="P61" s="23"/>
      <c r="Q61" s="23"/>
      <c r="S61" s="26">
        <f>SUM(I60:R60)</f>
        <v>624077636.68256283</v>
      </c>
    </row>
    <row r="62" spans="1:19" x14ac:dyDescent="0.2">
      <c r="A62" s="23" t="s">
        <v>81</v>
      </c>
      <c r="B62" s="23"/>
      <c r="C62" s="23"/>
      <c r="D62" s="23"/>
      <c r="E62" s="23"/>
      <c r="F62" s="27">
        <f>F53</f>
        <v>220000000</v>
      </c>
      <c r="G62" s="27"/>
      <c r="H62" s="23"/>
      <c r="I62" s="27">
        <f>F62/20</f>
        <v>11000000</v>
      </c>
      <c r="J62" s="27">
        <f>I62</f>
        <v>11000000</v>
      </c>
      <c r="K62" s="27">
        <f t="shared" ref="K62:R62" si="48">J62</f>
        <v>11000000</v>
      </c>
      <c r="L62" s="27">
        <f t="shared" si="48"/>
        <v>11000000</v>
      </c>
      <c r="M62" s="27">
        <f t="shared" si="48"/>
        <v>11000000</v>
      </c>
      <c r="N62" s="27">
        <f t="shared" si="48"/>
        <v>11000000</v>
      </c>
      <c r="O62" s="27">
        <f t="shared" si="48"/>
        <v>11000000</v>
      </c>
      <c r="P62" s="27">
        <f t="shared" si="48"/>
        <v>11000000</v>
      </c>
      <c r="Q62" s="27">
        <f t="shared" si="48"/>
        <v>11000000</v>
      </c>
      <c r="R62" s="27">
        <f t="shared" si="48"/>
        <v>11000000</v>
      </c>
      <c r="S62" s="23"/>
    </row>
    <row r="63" spans="1:19" x14ac:dyDescent="0.2">
      <c r="A63" s="22" t="s">
        <v>24</v>
      </c>
      <c r="B63" s="23"/>
      <c r="C63" s="23"/>
      <c r="D63" s="23"/>
      <c r="E63" s="23"/>
      <c r="F63" s="23"/>
      <c r="G63" s="23"/>
      <c r="H63" s="23"/>
      <c r="I63" s="28">
        <f>SUM(I62+I60)</f>
        <v>71892712.867007971</v>
      </c>
      <c r="J63" s="28">
        <f t="shared" ref="J63:R63" si="49">SUM(J62+J60)</f>
        <v>71532023.941367418</v>
      </c>
      <c r="K63" s="28">
        <f t="shared" si="49"/>
        <v>71658604.336514652</v>
      </c>
      <c r="L63" s="28">
        <f t="shared" si="49"/>
        <v>71719631.008903682</v>
      </c>
      <c r="M63" s="28">
        <f t="shared" si="49"/>
        <v>72072345.215952843</v>
      </c>
      <c r="N63" s="28">
        <f t="shared" si="49"/>
        <v>73093948.004041553</v>
      </c>
      <c r="O63" s="28">
        <f t="shared" si="49"/>
        <v>74091178.793992877</v>
      </c>
      <c r="P63" s="28">
        <f t="shared" si="49"/>
        <v>75064297.767992064</v>
      </c>
      <c r="Q63" s="28">
        <f t="shared" si="49"/>
        <v>76013580.072810903</v>
      </c>
      <c r="R63" s="28">
        <f t="shared" si="49"/>
        <v>76939314.673978835</v>
      </c>
    </row>
    <row r="64" spans="1:19" x14ac:dyDescent="0.2">
      <c r="A64" s="15" t="s">
        <v>26</v>
      </c>
      <c r="I64" s="25"/>
      <c r="S64" s="26">
        <f>SUM(I63:R63)</f>
        <v>734077636.68256271</v>
      </c>
    </row>
    <row r="66" spans="1:19" s="21" customFormat="1" x14ac:dyDescent="0.2">
      <c r="A66" s="16" t="s">
        <v>32</v>
      </c>
    </row>
    <row r="67" spans="1:19" x14ac:dyDescent="0.2">
      <c r="A67" s="22" t="s">
        <v>30</v>
      </c>
      <c r="B67" s="22"/>
      <c r="C67" s="22"/>
      <c r="D67" s="23"/>
      <c r="E67" s="23"/>
      <c r="F67" s="23"/>
      <c r="G67" s="23"/>
      <c r="H67" s="23" t="s">
        <v>18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</row>
    <row r="68" spans="1:19" x14ac:dyDescent="0.2">
      <c r="A68" s="23" t="s">
        <v>19</v>
      </c>
      <c r="B68" s="23"/>
      <c r="C68" s="23"/>
      <c r="D68" s="23"/>
      <c r="E68" s="23"/>
      <c r="F68" s="23"/>
      <c r="G68" s="23"/>
      <c r="H68" s="24">
        <f>H48</f>
        <v>123</v>
      </c>
      <c r="I68" s="24">
        <f t="shared" ref="I68:R68" si="50">I15*($H$68*(1+0.02*(I2-2024)))</f>
        <v>75737938.730055124</v>
      </c>
      <c r="J68" s="24">
        <f t="shared" si="50"/>
        <v>77681954.463807702</v>
      </c>
      <c r="K68" s="24">
        <f t="shared" si="50"/>
        <v>79633018.468278363</v>
      </c>
      <c r="L68" s="24">
        <f t="shared" si="50"/>
        <v>81590755.514809102</v>
      </c>
      <c r="M68" s="24">
        <f t="shared" si="50"/>
        <v>83554803.875340462</v>
      </c>
      <c r="N68" s="24">
        <f t="shared" si="50"/>
        <v>85524814.900598347</v>
      </c>
      <c r="O68" s="24">
        <f t="shared" si="50"/>
        <v>87500452.61052607</v>
      </c>
      <c r="P68" s="24">
        <f t="shared" si="50"/>
        <v>89481393.296621546</v>
      </c>
      <c r="Q68" s="24">
        <f t="shared" si="50"/>
        <v>91467325.135849476</v>
      </c>
      <c r="R68" s="24">
        <f t="shared" si="50"/>
        <v>93457947.815806508</v>
      </c>
      <c r="S68" s="23"/>
    </row>
    <row r="69" spans="1:19" x14ac:dyDescent="0.2">
      <c r="A69" s="23" t="s">
        <v>74</v>
      </c>
      <c r="B69" s="23"/>
      <c r="C69" s="23"/>
      <c r="D69" s="23"/>
      <c r="E69" s="23"/>
      <c r="F69" s="23"/>
      <c r="G69" s="23"/>
      <c r="H69" s="24">
        <f>H49</f>
        <v>123</v>
      </c>
      <c r="I69" s="24">
        <f>I16*($H$69*(1+0.052*(I2-2024)))</f>
        <v>35547000</v>
      </c>
      <c r="J69" s="24">
        <f t="shared" ref="J69:R69" si="51">J16*($H$69*(1+0.02*(J2-2024)))</f>
        <v>0</v>
      </c>
      <c r="K69" s="24">
        <f t="shared" si="51"/>
        <v>0</v>
      </c>
      <c r="L69" s="24">
        <f t="shared" si="51"/>
        <v>0</v>
      </c>
      <c r="M69" s="24">
        <f t="shared" si="51"/>
        <v>0</v>
      </c>
      <c r="N69" s="24">
        <f t="shared" si="51"/>
        <v>0</v>
      </c>
      <c r="O69" s="24">
        <f t="shared" si="51"/>
        <v>0</v>
      </c>
      <c r="P69" s="24">
        <f t="shared" si="51"/>
        <v>0</v>
      </c>
      <c r="Q69" s="24">
        <f t="shared" si="51"/>
        <v>0</v>
      </c>
      <c r="R69" s="24">
        <f t="shared" si="51"/>
        <v>0</v>
      </c>
      <c r="S69" s="23"/>
    </row>
    <row r="70" spans="1:19" x14ac:dyDescent="0.2">
      <c r="A70" s="23" t="s">
        <v>20</v>
      </c>
      <c r="B70" s="23"/>
      <c r="C70" s="23"/>
      <c r="D70" s="23"/>
      <c r="E70" s="23"/>
      <c r="F70" s="23"/>
      <c r="G70" s="23"/>
      <c r="H70" s="24">
        <f>H50</f>
        <v>231</v>
      </c>
      <c r="I70" s="24">
        <f t="shared" ref="I70:R70" si="52">I17*($H$70*(1+0.02*(I2-2024)))</f>
        <v>11348793.062263535</v>
      </c>
      <c r="J70" s="24">
        <f t="shared" si="52"/>
        <v>112020002.60991174</v>
      </c>
      <c r="K70" s="24">
        <f t="shared" si="52"/>
        <v>109922665.99982876</v>
      </c>
      <c r="L70" s="24">
        <f t="shared" si="52"/>
        <v>107679503.87306494</v>
      </c>
      <c r="M70" s="24">
        <f t="shared" si="52"/>
        <v>105292829.28907324</v>
      </c>
      <c r="N70" s="24">
        <f t="shared" si="52"/>
        <v>102764999.10471255</v>
      </c>
      <c r="O70" s="24">
        <f t="shared" si="52"/>
        <v>100098409.07179496</v>
      </c>
      <c r="P70" s="24">
        <f t="shared" si="52"/>
        <v>97295489.174884886</v>
      </c>
      <c r="Q70" s="24">
        <f t="shared" si="52"/>
        <v>94358699.20002681</v>
      </c>
      <c r="R70" s="24">
        <f t="shared" si="52"/>
        <v>91290524.525402933</v>
      </c>
      <c r="S70" s="23"/>
    </row>
    <row r="71" spans="1:19" x14ac:dyDescent="0.2">
      <c r="A71" s="22" t="s">
        <v>21</v>
      </c>
      <c r="B71" s="22"/>
      <c r="C71" s="22"/>
      <c r="D71" s="22"/>
      <c r="E71" s="22"/>
      <c r="F71" s="22"/>
      <c r="G71" s="22"/>
      <c r="H71" s="22"/>
      <c r="I71" s="26">
        <f>SUM(I68:I70)</f>
        <v>122633731.79231866</v>
      </c>
      <c r="J71" s="26">
        <f t="shared" ref="J71:R71" si="53">SUM(J68:J70)</f>
        <v>189701957.07371944</v>
      </c>
      <c r="K71" s="26">
        <f t="shared" si="53"/>
        <v>189555684.4681071</v>
      </c>
      <c r="L71" s="26">
        <f t="shared" si="53"/>
        <v>189270259.38787404</v>
      </c>
      <c r="M71" s="26">
        <f t="shared" si="53"/>
        <v>188847633.16441369</v>
      </c>
      <c r="N71" s="26">
        <f t="shared" si="53"/>
        <v>188289814.00531089</v>
      </c>
      <c r="O71" s="26">
        <f t="shared" si="53"/>
        <v>187598861.68232101</v>
      </c>
      <c r="P71" s="26">
        <f t="shared" si="53"/>
        <v>186776882.47150642</v>
      </c>
      <c r="Q71" s="26">
        <f t="shared" si="53"/>
        <v>185826024.33587629</v>
      </c>
      <c r="R71" s="26">
        <f t="shared" si="53"/>
        <v>184748472.34120944</v>
      </c>
      <c r="S71" s="34" t="s">
        <v>22</v>
      </c>
    </row>
    <row r="72" spans="1:19" x14ac:dyDescent="0.2">
      <c r="A72" s="22" t="s">
        <v>25</v>
      </c>
      <c r="J72" s="23"/>
      <c r="K72" s="23"/>
      <c r="L72" s="23"/>
      <c r="M72" s="23"/>
      <c r="N72" s="23"/>
      <c r="O72" s="23"/>
      <c r="P72" s="23"/>
      <c r="Q72" s="23"/>
      <c r="S72" s="26">
        <f>SUM(I71:R71)</f>
        <v>1813249320.7226567</v>
      </c>
    </row>
    <row r="73" spans="1:19" x14ac:dyDescent="0.2">
      <c r="A73" s="23" t="s">
        <v>81</v>
      </c>
      <c r="B73" s="23"/>
      <c r="C73" s="23"/>
      <c r="D73" s="23"/>
      <c r="E73" s="23"/>
      <c r="F73" s="23">
        <v>0</v>
      </c>
      <c r="G73" s="23"/>
      <c r="H73" s="23"/>
      <c r="I73" s="27">
        <f>F73/20</f>
        <v>0</v>
      </c>
      <c r="J73" s="27">
        <f>I73</f>
        <v>0</v>
      </c>
      <c r="K73" s="27">
        <f t="shared" ref="K73:R73" si="54">J73</f>
        <v>0</v>
      </c>
      <c r="L73" s="27">
        <f t="shared" si="54"/>
        <v>0</v>
      </c>
      <c r="M73" s="27">
        <f t="shared" si="54"/>
        <v>0</v>
      </c>
      <c r="N73" s="27">
        <f t="shared" si="54"/>
        <v>0</v>
      </c>
      <c r="O73" s="27">
        <f t="shared" si="54"/>
        <v>0</v>
      </c>
      <c r="P73" s="27">
        <f t="shared" si="54"/>
        <v>0</v>
      </c>
      <c r="Q73" s="27">
        <f t="shared" si="54"/>
        <v>0</v>
      </c>
      <c r="R73" s="27">
        <f t="shared" si="54"/>
        <v>0</v>
      </c>
      <c r="S73" s="23"/>
    </row>
    <row r="74" spans="1:19" x14ac:dyDescent="0.2">
      <c r="A74" s="22" t="s">
        <v>24</v>
      </c>
      <c r="B74" s="23"/>
      <c r="C74" s="23"/>
      <c r="D74" s="23"/>
      <c r="E74" s="23"/>
      <c r="F74" s="23"/>
      <c r="G74" s="23"/>
      <c r="H74" s="23"/>
      <c r="I74" s="28">
        <f>SUM(I73+I71)</f>
        <v>122633731.79231866</v>
      </c>
      <c r="J74" s="28">
        <f t="shared" ref="J74:R74" si="55">SUM(J73+J71)</f>
        <v>189701957.07371944</v>
      </c>
      <c r="K74" s="28">
        <f t="shared" si="55"/>
        <v>189555684.4681071</v>
      </c>
      <c r="L74" s="28">
        <f t="shared" si="55"/>
        <v>189270259.38787404</v>
      </c>
      <c r="M74" s="28">
        <f t="shared" si="55"/>
        <v>188847633.16441369</v>
      </c>
      <c r="N74" s="28">
        <f t="shared" si="55"/>
        <v>188289814.00531089</v>
      </c>
      <c r="O74" s="28">
        <f t="shared" si="55"/>
        <v>187598861.68232101</v>
      </c>
      <c r="P74" s="28">
        <f t="shared" si="55"/>
        <v>186776882.47150642</v>
      </c>
      <c r="Q74" s="28">
        <f t="shared" si="55"/>
        <v>185826024.33587629</v>
      </c>
      <c r="R74" s="28">
        <f t="shared" si="55"/>
        <v>184748472.34120944</v>
      </c>
    </row>
    <row r="75" spans="1:19" x14ac:dyDescent="0.2">
      <c r="A75" s="15" t="s">
        <v>26</v>
      </c>
      <c r="S75" s="26">
        <f>SUM(I74:R74)</f>
        <v>1813249320.7226567</v>
      </c>
    </row>
    <row r="76" spans="1:19" x14ac:dyDescent="0.2">
      <c r="A76" s="15"/>
      <c r="R76" s="26"/>
    </row>
    <row r="77" spans="1:19" x14ac:dyDescent="0.2">
      <c r="A77" s="22" t="s">
        <v>29</v>
      </c>
      <c r="B77" s="22"/>
      <c r="C77" s="22"/>
      <c r="D77" s="23"/>
      <c r="E77" s="23"/>
      <c r="F77" s="23"/>
      <c r="G77" s="23"/>
      <c r="H77" s="23" t="s">
        <v>28</v>
      </c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</row>
    <row r="78" spans="1:19" x14ac:dyDescent="0.2">
      <c r="A78" s="23" t="s">
        <v>19</v>
      </c>
      <c r="B78" s="23"/>
      <c r="C78" s="23"/>
      <c r="D78" s="23"/>
      <c r="E78" s="23"/>
      <c r="F78" s="23"/>
      <c r="G78" s="23"/>
      <c r="H78" s="24">
        <f>H57</f>
        <v>47.643125769627581</v>
      </c>
      <c r="I78" s="24">
        <f t="shared" ref="I78:R78" si="56">I15*($H$57*(1+0.02*(I2-2022)))</f>
        <v>30443560.01298666</v>
      </c>
      <c r="J78" s="24">
        <f t="shared" si="56"/>
        <v>31203948.070879508</v>
      </c>
      <c r="K78" s="24">
        <f t="shared" si="56"/>
        <v>31966896.838885136</v>
      </c>
      <c r="L78" s="24">
        <f t="shared" si="56"/>
        <v>32732264.858390987</v>
      </c>
      <c r="M78" s="24">
        <f t="shared" si="56"/>
        <v>33499915.81110758</v>
      </c>
      <c r="N78" s="24">
        <f t="shared" si="56"/>
        <v>34269718.357723519</v>
      </c>
      <c r="O78" s="24">
        <f t="shared" si="56"/>
        <v>35041545.98125679</v>
      </c>
      <c r="P78" s="24">
        <f t="shared" si="56"/>
        <v>35815276.834971808</v>
      </c>
      <c r="Q78" s="24">
        <f t="shared" si="56"/>
        <v>36590793.594735138</v>
      </c>
      <c r="R78" s="24">
        <f t="shared" si="56"/>
        <v>37367983.31568642</v>
      </c>
      <c r="S78" s="23"/>
    </row>
    <row r="79" spans="1:19" x14ac:dyDescent="0.2">
      <c r="A79" s="23" t="s">
        <v>74</v>
      </c>
      <c r="B79" s="23"/>
      <c r="C79" s="23"/>
      <c r="D79" s="23"/>
      <c r="E79" s="23"/>
      <c r="F79" s="23"/>
      <c r="G79" s="23"/>
      <c r="H79" s="24">
        <f>H58</f>
        <v>78.280771161677052</v>
      </c>
      <c r="I79" s="24">
        <f>I16*($H$58*(1+0.05*(I2-2022)))</f>
        <v>24462740.988024082</v>
      </c>
      <c r="J79" s="24">
        <f t="shared" ref="J79:R79" si="57">J16*($H$58*(1+0.05*(J2-2022)))</f>
        <v>0</v>
      </c>
      <c r="K79" s="24">
        <f t="shared" si="57"/>
        <v>0</v>
      </c>
      <c r="L79" s="24">
        <f t="shared" si="57"/>
        <v>0</v>
      </c>
      <c r="M79" s="24">
        <f t="shared" si="57"/>
        <v>0</v>
      </c>
      <c r="N79" s="24">
        <f t="shared" si="57"/>
        <v>0</v>
      </c>
      <c r="O79" s="24">
        <f t="shared" si="57"/>
        <v>0</v>
      </c>
      <c r="P79" s="24">
        <f t="shared" si="57"/>
        <v>0</v>
      </c>
      <c r="Q79" s="24">
        <f t="shared" si="57"/>
        <v>0</v>
      </c>
      <c r="R79" s="24">
        <f t="shared" si="57"/>
        <v>0</v>
      </c>
      <c r="S79" s="23"/>
    </row>
    <row r="80" spans="1:19" x14ac:dyDescent="0.2">
      <c r="A80" s="23" t="s">
        <v>20</v>
      </c>
      <c r="B80" s="23"/>
      <c r="C80" s="23"/>
      <c r="D80" s="23"/>
      <c r="E80" s="23"/>
      <c r="F80" s="23"/>
      <c r="G80" s="23"/>
      <c r="H80" s="24">
        <f>H59</f>
        <v>117.41999999999999</v>
      </c>
      <c r="I80" s="24">
        <f t="shared" ref="I80:R80" si="58">I17*($H$59*(1+0.02*(I2-2022)))</f>
        <v>5986411.8659972344</v>
      </c>
      <c r="J80" s="24">
        <f t="shared" si="58"/>
        <v>59050005.416187815</v>
      </c>
      <c r="K80" s="24">
        <f t="shared" si="58"/>
        <v>57906793.244934581</v>
      </c>
      <c r="L80" s="24">
        <f t="shared" si="58"/>
        <v>56689562.924935549</v>
      </c>
      <c r="M80" s="24">
        <f t="shared" si="58"/>
        <v>55399525.851921894</v>
      </c>
      <c r="N80" s="24">
        <f t="shared" si="58"/>
        <v>54037913.994067825</v>
      </c>
      <c r="O80" s="24">
        <f t="shared" si="58"/>
        <v>52605977.458787881</v>
      </c>
      <c r="P80" s="24">
        <f t="shared" si="58"/>
        <v>51104982.179850571</v>
      </c>
      <c r="Q80" s="24">
        <f t="shared" si="58"/>
        <v>49536207.720121376</v>
      </c>
      <c r="R80" s="24">
        <f t="shared" si="58"/>
        <v>47900945.185411252</v>
      </c>
      <c r="S80" s="23"/>
    </row>
    <row r="81" spans="1:19" x14ac:dyDescent="0.2">
      <c r="A81" s="22" t="s">
        <v>21</v>
      </c>
      <c r="B81" s="22"/>
      <c r="C81" s="22"/>
      <c r="D81" s="22"/>
      <c r="E81" s="22"/>
      <c r="F81" s="22"/>
      <c r="G81" s="22"/>
      <c r="H81" s="22"/>
      <c r="I81" s="26">
        <f>SUM(I78:I80)</f>
        <v>60892712.867007978</v>
      </c>
      <c r="J81" s="26">
        <f t="shared" ref="J81:R81" si="59">SUM(J78:J80)</f>
        <v>90253953.487067327</v>
      </c>
      <c r="K81" s="26">
        <f t="shared" si="59"/>
        <v>89873690.083819717</v>
      </c>
      <c r="L81" s="26">
        <f t="shared" si="59"/>
        <v>89421827.783326536</v>
      </c>
      <c r="M81" s="26">
        <f t="shared" si="59"/>
        <v>88899441.663029477</v>
      </c>
      <c r="N81" s="26">
        <f t="shared" si="59"/>
        <v>88307632.351791352</v>
      </c>
      <c r="O81" s="26">
        <f t="shared" si="59"/>
        <v>87647523.440044671</v>
      </c>
      <c r="P81" s="26">
        <f t="shared" si="59"/>
        <v>86920259.014822379</v>
      </c>
      <c r="Q81" s="26">
        <f t="shared" si="59"/>
        <v>86127001.314856514</v>
      </c>
      <c r="R81" s="26">
        <f t="shared" si="59"/>
        <v>85268928.501097679</v>
      </c>
      <c r="S81" s="34" t="s">
        <v>22</v>
      </c>
    </row>
    <row r="82" spans="1:19" x14ac:dyDescent="0.2">
      <c r="A82" s="22" t="s">
        <v>25</v>
      </c>
      <c r="J82" s="23"/>
      <c r="K82" s="23"/>
      <c r="L82" s="23"/>
      <c r="M82" s="23"/>
      <c r="N82" s="23"/>
      <c r="O82" s="23"/>
      <c r="P82" s="23"/>
      <c r="Q82" s="23"/>
      <c r="S82" s="26">
        <f>SUM(I81:R81)</f>
        <v>853612970.50686359</v>
      </c>
    </row>
    <row r="83" spans="1:19" x14ac:dyDescent="0.2">
      <c r="A83" s="23" t="s">
        <v>81</v>
      </c>
      <c r="B83" s="23"/>
      <c r="C83" s="23"/>
      <c r="D83" s="23"/>
      <c r="E83" s="23"/>
      <c r="F83" s="23">
        <v>0</v>
      </c>
      <c r="G83" s="23"/>
      <c r="H83" s="23"/>
      <c r="I83" s="27">
        <f>F83/20</f>
        <v>0</v>
      </c>
      <c r="J83" s="27">
        <f>I83</f>
        <v>0</v>
      </c>
      <c r="K83" s="27">
        <f t="shared" ref="K83:R83" si="60">J83</f>
        <v>0</v>
      </c>
      <c r="L83" s="27">
        <f t="shared" si="60"/>
        <v>0</v>
      </c>
      <c r="M83" s="27">
        <f t="shared" si="60"/>
        <v>0</v>
      </c>
      <c r="N83" s="27">
        <f t="shared" si="60"/>
        <v>0</v>
      </c>
      <c r="O83" s="27">
        <f t="shared" si="60"/>
        <v>0</v>
      </c>
      <c r="P83" s="27">
        <f t="shared" si="60"/>
        <v>0</v>
      </c>
      <c r="Q83" s="27">
        <f t="shared" si="60"/>
        <v>0</v>
      </c>
      <c r="R83" s="27">
        <f t="shared" si="60"/>
        <v>0</v>
      </c>
      <c r="S83" s="23"/>
    </row>
    <row r="84" spans="1:19" x14ac:dyDescent="0.2">
      <c r="A84" s="22" t="s">
        <v>24</v>
      </c>
      <c r="B84" s="23"/>
      <c r="C84" s="23"/>
      <c r="D84" s="23"/>
      <c r="E84" s="23"/>
      <c r="F84" s="23"/>
      <c r="G84" s="23"/>
      <c r="H84" s="23"/>
      <c r="I84" s="28">
        <f>SUM(I83+I81)</f>
        <v>60892712.867007978</v>
      </c>
      <c r="J84" s="28">
        <f t="shared" ref="J84:R84" si="61">SUM(J83+J81)</f>
        <v>90253953.487067327</v>
      </c>
      <c r="K84" s="28">
        <f t="shared" si="61"/>
        <v>89873690.083819717</v>
      </c>
      <c r="L84" s="28">
        <f t="shared" si="61"/>
        <v>89421827.783326536</v>
      </c>
      <c r="M84" s="28">
        <f t="shared" si="61"/>
        <v>88899441.663029477</v>
      </c>
      <c r="N84" s="28">
        <f t="shared" si="61"/>
        <v>88307632.351791352</v>
      </c>
      <c r="O84" s="28">
        <f t="shared" si="61"/>
        <v>87647523.440044671</v>
      </c>
      <c r="P84" s="28">
        <f t="shared" si="61"/>
        <v>86920259.014822379</v>
      </c>
      <c r="Q84" s="28">
        <f t="shared" si="61"/>
        <v>86127001.314856514</v>
      </c>
      <c r="R84" s="28">
        <f t="shared" si="61"/>
        <v>85268928.501097679</v>
      </c>
    </row>
    <row r="85" spans="1:19" x14ac:dyDescent="0.2">
      <c r="A85" s="15" t="s">
        <v>26</v>
      </c>
      <c r="S85" s="26">
        <f>SUM(I84:R84)</f>
        <v>853612970.50686359</v>
      </c>
    </row>
    <row r="86" spans="1:19" s="41" customFormat="1" x14ac:dyDescent="0.2"/>
    <row r="87" spans="1:19" x14ac:dyDescent="0.2">
      <c r="A87" s="15" t="s">
        <v>15</v>
      </c>
    </row>
    <row r="88" spans="1:19" x14ac:dyDescent="0.2">
      <c r="A88" s="22" t="s">
        <v>33</v>
      </c>
      <c r="B88" s="22"/>
      <c r="C88" s="22"/>
      <c r="D88" s="23"/>
      <c r="E88" s="23"/>
      <c r="F88" s="23"/>
      <c r="G88" s="23"/>
      <c r="H88" s="23" t="s">
        <v>18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</row>
    <row r="89" spans="1:19" x14ac:dyDescent="0.2">
      <c r="A89" s="23" t="s">
        <v>19</v>
      </c>
      <c r="B89" s="23"/>
      <c r="C89" s="23"/>
      <c r="D89" s="23"/>
      <c r="E89" s="23"/>
      <c r="F89" s="23"/>
      <c r="G89" s="23"/>
      <c r="H89" s="24">
        <f>H48</f>
        <v>123</v>
      </c>
      <c r="I89" s="24">
        <f t="shared" ref="I89:R89" si="62">I25*($H$89*(1+0.02*(I2-2024)))</f>
        <v>75737938.730055124</v>
      </c>
      <c r="J89" s="24">
        <f t="shared" si="62"/>
        <v>78290108.619845808</v>
      </c>
      <c r="K89" s="24">
        <f t="shared" si="62"/>
        <v>80826679.173832297</v>
      </c>
      <c r="L89" s="24">
        <f t="shared" si="62"/>
        <v>83347442.400870502</v>
      </c>
      <c r="M89" s="24">
        <f t="shared" si="62"/>
        <v>85852250.10727033</v>
      </c>
      <c r="N89" s="24">
        <f t="shared" si="62"/>
        <v>88341008.437027961</v>
      </c>
      <c r="O89" s="24">
        <f t="shared" si="62"/>
        <v>90813672.808541685</v>
      </c>
      <c r="P89" s="24">
        <f t="shared" si="62"/>
        <v>93270243.221811458</v>
      </c>
      <c r="Q89" s="24">
        <f t="shared" si="62"/>
        <v>90606378.356854305</v>
      </c>
      <c r="R89" s="24">
        <f t="shared" si="62"/>
        <v>87591571.352855891</v>
      </c>
      <c r="S89" s="23"/>
    </row>
    <row r="90" spans="1:19" x14ac:dyDescent="0.2">
      <c r="A90" s="23" t="s">
        <v>74</v>
      </c>
      <c r="B90" s="23"/>
      <c r="C90" s="23"/>
      <c r="D90" s="23"/>
      <c r="E90" s="23"/>
      <c r="F90" s="23"/>
      <c r="G90" s="23"/>
      <c r="H90" s="24">
        <f>H49</f>
        <v>123</v>
      </c>
      <c r="I90" s="24">
        <f>I26*($H$90*(1+0.05*(I2-2024)))</f>
        <v>35362500</v>
      </c>
      <c r="J90" s="24">
        <f t="shared" ref="J90:R90" si="63">J26*($H$90*(1+0.05*(J2-2024)))</f>
        <v>0</v>
      </c>
      <c r="K90" s="24">
        <f t="shared" si="63"/>
        <v>0</v>
      </c>
      <c r="L90" s="24">
        <f t="shared" si="63"/>
        <v>0</v>
      </c>
      <c r="M90" s="24">
        <f t="shared" si="63"/>
        <v>0</v>
      </c>
      <c r="N90" s="24">
        <f t="shared" si="63"/>
        <v>0</v>
      </c>
      <c r="O90" s="24">
        <f t="shared" si="63"/>
        <v>0</v>
      </c>
      <c r="P90" s="24">
        <f t="shared" si="63"/>
        <v>0</v>
      </c>
      <c r="Q90" s="24">
        <f t="shared" si="63"/>
        <v>0</v>
      </c>
      <c r="R90" s="24">
        <f t="shared" si="63"/>
        <v>0</v>
      </c>
      <c r="S90" s="23"/>
    </row>
    <row r="91" spans="1:19" x14ac:dyDescent="0.2">
      <c r="A91" s="23" t="s">
        <v>20</v>
      </c>
      <c r="B91" s="23"/>
      <c r="C91" s="23"/>
      <c r="D91" s="23"/>
      <c r="E91" s="23"/>
      <c r="F91" s="23"/>
      <c r="G91" s="23"/>
      <c r="H91" s="24">
        <f>H50</f>
        <v>231</v>
      </c>
      <c r="I91" s="24">
        <f t="shared" ref="I91:R91" si="64">I27*($H$91*(1+0.02*(I2-2024)))</f>
        <v>11348793.062263535</v>
      </c>
      <c r="J91" s="24">
        <f t="shared" si="64"/>
        <v>62340679.442728162</v>
      </c>
      <c r="K91" s="24">
        <f t="shared" si="64"/>
        <v>52083524.704623409</v>
      </c>
      <c r="L91" s="24">
        <f t="shared" si="64"/>
        <v>41803695.843748428</v>
      </c>
      <c r="M91" s="24">
        <f t="shared" si="64"/>
        <v>31511845.154124163</v>
      </c>
      <c r="N91" s="24">
        <f t="shared" si="64"/>
        <v>21217936.435931548</v>
      </c>
      <c r="O91" s="24">
        <f t="shared" si="64"/>
        <v>10931271.211647511</v>
      </c>
      <c r="P91" s="24">
        <f t="shared" si="64"/>
        <v>660514.84192791721</v>
      </c>
      <c r="Q91" s="24">
        <f t="shared" si="64"/>
        <v>0</v>
      </c>
      <c r="R91" s="24">
        <f t="shared" si="64"/>
        <v>0</v>
      </c>
      <c r="S91" s="23" t="s">
        <v>35</v>
      </c>
    </row>
    <row r="92" spans="1:19" x14ac:dyDescent="0.2">
      <c r="A92" s="22" t="s">
        <v>21</v>
      </c>
      <c r="B92" s="22"/>
      <c r="C92" s="22"/>
      <c r="D92" s="22"/>
      <c r="E92" s="22"/>
      <c r="F92" s="22"/>
      <c r="G92" s="22"/>
      <c r="H92" s="22"/>
      <c r="I92" s="26">
        <f>SUM(I89:I91)</f>
        <v>122449231.79231866</v>
      </c>
      <c r="J92" s="26">
        <f t="shared" ref="J92:R92" si="65">SUM(J89:J91)</f>
        <v>140630788.06257397</v>
      </c>
      <c r="K92" s="26">
        <f t="shared" si="65"/>
        <v>132910203.8784557</v>
      </c>
      <c r="L92" s="26">
        <f t="shared" si="65"/>
        <v>125151138.24461892</v>
      </c>
      <c r="M92" s="26">
        <f t="shared" si="65"/>
        <v>117364095.2613945</v>
      </c>
      <c r="N92" s="26">
        <f t="shared" si="65"/>
        <v>109558944.87295951</v>
      </c>
      <c r="O92" s="26">
        <f t="shared" si="65"/>
        <v>101744944.0201892</v>
      </c>
      <c r="P92" s="26">
        <f t="shared" si="65"/>
        <v>93930758.063739374</v>
      </c>
      <c r="Q92" s="26">
        <f t="shared" si="65"/>
        <v>90606378.356854305</v>
      </c>
      <c r="R92" s="26">
        <f t="shared" si="65"/>
        <v>87591571.352855891</v>
      </c>
      <c r="S92" s="34" t="s">
        <v>22</v>
      </c>
    </row>
    <row r="93" spans="1:19" x14ac:dyDescent="0.2">
      <c r="A93" s="22" t="s">
        <v>25</v>
      </c>
      <c r="J93" s="23"/>
      <c r="K93" s="23"/>
      <c r="L93" s="23"/>
      <c r="M93" s="23"/>
      <c r="N93" s="23"/>
      <c r="O93" s="23"/>
      <c r="P93" s="23"/>
      <c r="Q93" s="23"/>
      <c r="S93" s="26">
        <f>SUM(I92:R92)</f>
        <v>1121938053.9059601</v>
      </c>
    </row>
    <row r="94" spans="1:19" x14ac:dyDescent="0.2">
      <c r="A94" s="23" t="s">
        <v>81</v>
      </c>
      <c r="B94" s="23"/>
      <c r="C94" s="23"/>
      <c r="D94" s="23"/>
      <c r="E94" s="23"/>
      <c r="F94" s="23">
        <v>0</v>
      </c>
      <c r="G94" s="23"/>
      <c r="H94" s="23"/>
      <c r="I94" s="27">
        <f>F94/20</f>
        <v>0</v>
      </c>
      <c r="J94" s="27">
        <f>I94</f>
        <v>0</v>
      </c>
      <c r="K94" s="27">
        <f t="shared" ref="K94:R94" si="66">J94</f>
        <v>0</v>
      </c>
      <c r="L94" s="27">
        <f t="shared" si="66"/>
        <v>0</v>
      </c>
      <c r="M94" s="27">
        <f t="shared" si="66"/>
        <v>0</v>
      </c>
      <c r="N94" s="27">
        <f t="shared" si="66"/>
        <v>0</v>
      </c>
      <c r="O94" s="27">
        <f t="shared" si="66"/>
        <v>0</v>
      </c>
      <c r="P94" s="27">
        <f t="shared" si="66"/>
        <v>0</v>
      </c>
      <c r="Q94" s="27">
        <f t="shared" si="66"/>
        <v>0</v>
      </c>
      <c r="R94" s="27">
        <f t="shared" si="66"/>
        <v>0</v>
      </c>
      <c r="S94" s="23"/>
    </row>
    <row r="95" spans="1:19" x14ac:dyDescent="0.2">
      <c r="A95" s="22" t="s">
        <v>24</v>
      </c>
      <c r="B95" s="23"/>
      <c r="C95" s="23"/>
      <c r="D95" s="23"/>
      <c r="E95" s="23"/>
      <c r="F95" s="23"/>
      <c r="G95" s="23"/>
      <c r="H95" s="23"/>
      <c r="I95" s="28">
        <f>SUM(I94+I92)</f>
        <v>122449231.79231866</v>
      </c>
      <c r="J95" s="28">
        <f t="shared" ref="J95:R95" si="67">SUM(J94+J92)</f>
        <v>140630788.06257397</v>
      </c>
      <c r="K95" s="28">
        <f t="shared" si="67"/>
        <v>132910203.8784557</v>
      </c>
      <c r="L95" s="28">
        <f t="shared" si="67"/>
        <v>125151138.24461892</v>
      </c>
      <c r="M95" s="28">
        <f t="shared" si="67"/>
        <v>117364095.2613945</v>
      </c>
      <c r="N95" s="28">
        <f t="shared" si="67"/>
        <v>109558944.87295951</v>
      </c>
      <c r="O95" s="28">
        <f t="shared" si="67"/>
        <v>101744944.0201892</v>
      </c>
      <c r="P95" s="28">
        <f t="shared" si="67"/>
        <v>93930758.063739374</v>
      </c>
      <c r="Q95" s="28">
        <f t="shared" si="67"/>
        <v>90606378.356854305</v>
      </c>
      <c r="R95" s="28">
        <f t="shared" si="67"/>
        <v>87591571.352855891</v>
      </c>
    </row>
    <row r="96" spans="1:19" x14ac:dyDescent="0.2">
      <c r="A96" s="15" t="s">
        <v>26</v>
      </c>
      <c r="S96" s="26">
        <f>SUM(I95:R95)</f>
        <v>1121938053.9059601</v>
      </c>
    </row>
    <row r="97" spans="1:19" x14ac:dyDescent="0.2">
      <c r="A97" s="15"/>
      <c r="R97" s="26"/>
    </row>
    <row r="98" spans="1:19" x14ac:dyDescent="0.2">
      <c r="A98" s="22" t="s">
        <v>34</v>
      </c>
      <c r="B98" s="22"/>
      <c r="C98" s="22"/>
      <c r="D98" s="23"/>
      <c r="E98" s="23"/>
      <c r="F98" s="23"/>
      <c r="G98" s="23"/>
      <c r="H98" s="23" t="s">
        <v>28</v>
      </c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</row>
    <row r="99" spans="1:19" x14ac:dyDescent="0.2">
      <c r="A99" s="23" t="s">
        <v>19</v>
      </c>
      <c r="B99" s="23"/>
      <c r="C99" s="23"/>
      <c r="D99" s="23"/>
      <c r="E99" s="23"/>
      <c r="F99" s="23"/>
      <c r="G99" s="23"/>
      <c r="H99" s="24">
        <f>H78</f>
        <v>47.643125769627581</v>
      </c>
      <c r="I99" s="24">
        <f t="shared" ref="I99:R99" si="68">I25*($H$57*(1+0.02*(I2-2022)))</f>
        <v>30443560.01298666</v>
      </c>
      <c r="J99" s="24">
        <f t="shared" si="68"/>
        <v>31448236.603976905</v>
      </c>
      <c r="K99" s="24">
        <f t="shared" si="68"/>
        <v>32446065.271389965</v>
      </c>
      <c r="L99" s="24">
        <f t="shared" si="68"/>
        <v>33437005.733322427</v>
      </c>
      <c r="M99" s="24">
        <f t="shared" si="68"/>
        <v>34421038.855870195</v>
      </c>
      <c r="N99" s="24">
        <f t="shared" si="68"/>
        <v>35398164.639033265</v>
      </c>
      <c r="O99" s="24">
        <f t="shared" si="68"/>
        <v>36368400.351160087</v>
      </c>
      <c r="P99" s="24">
        <f t="shared" si="68"/>
        <v>37331778.802112751</v>
      </c>
      <c r="Q99" s="24">
        <f t="shared" si="68"/>
        <v>36246378.517116159</v>
      </c>
      <c r="R99" s="24">
        <f t="shared" si="68"/>
        <v>35022386.574967086</v>
      </c>
      <c r="S99" s="23"/>
    </row>
    <row r="100" spans="1:19" x14ac:dyDescent="0.2">
      <c r="A100" s="23" t="s">
        <v>74</v>
      </c>
      <c r="B100" s="23"/>
      <c r="C100" s="23"/>
      <c r="D100" s="23"/>
      <c r="E100" s="23"/>
      <c r="F100" s="23"/>
      <c r="G100" s="23"/>
      <c r="H100" s="24">
        <f>H79</f>
        <v>78.280771161677052</v>
      </c>
      <c r="I100" s="24">
        <f>I26*($H$58*(1+0.05*(I2-2022)))</f>
        <v>24462740.988024082</v>
      </c>
      <c r="J100" s="24">
        <f t="shared" ref="J100:R100" si="69">J26*($H$58*(1+0.05*(J2-2022)))</f>
        <v>0</v>
      </c>
      <c r="K100" s="24">
        <f t="shared" si="69"/>
        <v>0</v>
      </c>
      <c r="L100" s="24">
        <f t="shared" si="69"/>
        <v>0</v>
      </c>
      <c r="M100" s="24">
        <f t="shared" si="69"/>
        <v>0</v>
      </c>
      <c r="N100" s="24">
        <f t="shared" si="69"/>
        <v>0</v>
      </c>
      <c r="O100" s="24">
        <f t="shared" si="69"/>
        <v>0</v>
      </c>
      <c r="P100" s="24">
        <f t="shared" si="69"/>
        <v>0</v>
      </c>
      <c r="Q100" s="24">
        <f t="shared" si="69"/>
        <v>0</v>
      </c>
      <c r="R100" s="24">
        <f t="shared" si="69"/>
        <v>0</v>
      </c>
      <c r="S100" s="23"/>
    </row>
    <row r="101" spans="1:19" x14ac:dyDescent="0.2">
      <c r="A101" s="23" t="s">
        <v>20</v>
      </c>
      <c r="B101" s="23"/>
      <c r="C101" s="23"/>
      <c r="D101" s="23"/>
      <c r="E101" s="23"/>
      <c r="F101" s="23"/>
      <c r="G101" s="23"/>
      <c r="H101" s="24">
        <f>H80</f>
        <v>117.41999999999999</v>
      </c>
      <c r="I101" s="24">
        <f t="shared" ref="I101:R101" si="70">I27*($H$59*(1+0.02*(I2-2022)))</f>
        <v>5986411.8659972344</v>
      </c>
      <c r="J101" s="24">
        <f t="shared" si="70"/>
        <v>32862144.018698722</v>
      </c>
      <c r="K101" s="24">
        <f t="shared" si="70"/>
        <v>27437379.444042675</v>
      </c>
      <c r="L101" s="24">
        <f t="shared" si="70"/>
        <v>22008211.041004211</v>
      </c>
      <c r="M101" s="24">
        <f t="shared" si="70"/>
        <v>16579868.658148266</v>
      </c>
      <c r="N101" s="24">
        <f t="shared" si="70"/>
        <v>11157232.854039777</v>
      </c>
      <c r="O101" s="24">
        <f t="shared" si="70"/>
        <v>5744848.6173578911</v>
      </c>
      <c r="P101" s="24">
        <f t="shared" si="70"/>
        <v>346938.99493715109</v>
      </c>
      <c r="Q101" s="24">
        <f t="shared" si="70"/>
        <v>0</v>
      </c>
      <c r="R101" s="24">
        <f t="shared" si="70"/>
        <v>0</v>
      </c>
      <c r="S101" s="23" t="s">
        <v>36</v>
      </c>
    </row>
    <row r="102" spans="1:19" x14ac:dyDescent="0.2">
      <c r="A102" s="22" t="s">
        <v>21</v>
      </c>
      <c r="B102" s="22"/>
      <c r="C102" s="22"/>
      <c r="D102" s="22"/>
      <c r="E102" s="22"/>
      <c r="F102" s="22"/>
      <c r="G102" s="22"/>
      <c r="H102" s="22"/>
      <c r="I102" s="26">
        <f>SUM(I99:I101)</f>
        <v>60892712.867007978</v>
      </c>
      <c r="J102" s="26">
        <f t="shared" ref="J102:R102" si="71">SUM(J99:J101)</f>
        <v>64310380.622675627</v>
      </c>
      <c r="K102" s="26">
        <f t="shared" si="71"/>
        <v>59883444.715432644</v>
      </c>
      <c r="L102" s="26">
        <f t="shared" si="71"/>
        <v>55445216.774326637</v>
      </c>
      <c r="M102" s="26">
        <f t="shared" si="71"/>
        <v>51000907.514018461</v>
      </c>
      <c r="N102" s="26">
        <f t="shared" si="71"/>
        <v>46555397.493073046</v>
      </c>
      <c r="O102" s="26">
        <f t="shared" si="71"/>
        <v>42113248.968517974</v>
      </c>
      <c r="P102" s="26">
        <f t="shared" si="71"/>
        <v>37678717.797049902</v>
      </c>
      <c r="Q102" s="26">
        <f t="shared" si="71"/>
        <v>36246378.517116159</v>
      </c>
      <c r="R102" s="26">
        <f t="shared" si="71"/>
        <v>35022386.574967086</v>
      </c>
      <c r="S102" s="34" t="s">
        <v>22</v>
      </c>
    </row>
    <row r="103" spans="1:19" x14ac:dyDescent="0.2">
      <c r="A103" s="22" t="s">
        <v>25</v>
      </c>
      <c r="J103" s="23"/>
      <c r="K103" s="23"/>
      <c r="L103" s="23"/>
      <c r="M103" s="23"/>
      <c r="N103" s="23"/>
      <c r="O103" s="23"/>
      <c r="P103" s="23"/>
      <c r="Q103" s="23"/>
      <c r="S103" s="26">
        <f>SUM(I102:R102)</f>
        <v>489148791.84418553</v>
      </c>
    </row>
    <row r="104" spans="1:19" x14ac:dyDescent="0.2">
      <c r="A104" s="23" t="s">
        <v>81</v>
      </c>
      <c r="B104" s="23"/>
      <c r="C104" s="23"/>
      <c r="D104" s="23"/>
      <c r="E104" s="23"/>
      <c r="F104" s="23">
        <v>0</v>
      </c>
      <c r="G104" s="23"/>
      <c r="H104" s="23"/>
      <c r="I104" s="27">
        <f>F104/20</f>
        <v>0</v>
      </c>
      <c r="J104" s="27">
        <f>I104</f>
        <v>0</v>
      </c>
      <c r="K104" s="27">
        <f t="shared" ref="K104:R104" si="72">J104</f>
        <v>0</v>
      </c>
      <c r="L104" s="27">
        <f t="shared" si="72"/>
        <v>0</v>
      </c>
      <c r="M104" s="27">
        <f t="shared" si="72"/>
        <v>0</v>
      </c>
      <c r="N104" s="27">
        <f t="shared" si="72"/>
        <v>0</v>
      </c>
      <c r="O104" s="27">
        <f t="shared" si="72"/>
        <v>0</v>
      </c>
      <c r="P104" s="27">
        <f t="shared" si="72"/>
        <v>0</v>
      </c>
      <c r="Q104" s="27">
        <f t="shared" si="72"/>
        <v>0</v>
      </c>
      <c r="R104" s="27">
        <f t="shared" si="72"/>
        <v>0</v>
      </c>
      <c r="S104" s="23"/>
    </row>
    <row r="105" spans="1:19" x14ac:dyDescent="0.2">
      <c r="A105" s="22" t="s">
        <v>24</v>
      </c>
      <c r="B105" s="23"/>
      <c r="C105" s="23"/>
      <c r="D105" s="23"/>
      <c r="E105" s="23"/>
      <c r="F105" s="23"/>
      <c r="G105" s="23"/>
      <c r="H105" s="23"/>
      <c r="I105" s="28">
        <f>SUM(I104+I102)</f>
        <v>60892712.867007978</v>
      </c>
      <c r="J105" s="28">
        <f t="shared" ref="J105:R105" si="73">SUM(J104+J102)</f>
        <v>64310380.622675627</v>
      </c>
      <c r="K105" s="28">
        <f t="shared" si="73"/>
        <v>59883444.715432644</v>
      </c>
      <c r="L105" s="28">
        <f t="shared" si="73"/>
        <v>55445216.774326637</v>
      </c>
      <c r="M105" s="28">
        <f t="shared" si="73"/>
        <v>51000907.514018461</v>
      </c>
      <c r="N105" s="28">
        <f t="shared" si="73"/>
        <v>46555397.493073046</v>
      </c>
      <c r="O105" s="28">
        <f t="shared" si="73"/>
        <v>42113248.968517974</v>
      </c>
      <c r="P105" s="28">
        <f t="shared" si="73"/>
        <v>37678717.797049902</v>
      </c>
      <c r="Q105" s="28">
        <f t="shared" si="73"/>
        <v>36246378.517116159</v>
      </c>
      <c r="R105" s="28">
        <f t="shared" si="73"/>
        <v>35022386.574967086</v>
      </c>
    </row>
    <row r="106" spans="1:19" x14ac:dyDescent="0.2">
      <c r="A106" s="15" t="s">
        <v>26</v>
      </c>
      <c r="S106" s="26">
        <f>SUM(I105:R105)</f>
        <v>489148791.84418553</v>
      </c>
    </row>
    <row r="107" spans="1:19" s="41" customFormat="1" x14ac:dyDescent="0.2"/>
    <row r="108" spans="1:19" x14ac:dyDescent="0.2">
      <c r="A108" s="15" t="s">
        <v>102</v>
      </c>
    </row>
    <row r="109" spans="1:19" x14ac:dyDescent="0.2">
      <c r="A109" s="22" t="s">
        <v>104</v>
      </c>
      <c r="B109" s="22"/>
      <c r="C109" s="22"/>
      <c r="D109" s="23"/>
      <c r="E109" s="23"/>
      <c r="F109" s="23"/>
      <c r="G109" s="23"/>
      <c r="H109" s="23" t="s">
        <v>18</v>
      </c>
      <c r="I109" s="23"/>
      <c r="J109" s="23"/>
      <c r="K109" s="23"/>
      <c r="L109" s="23"/>
      <c r="M109" s="23"/>
      <c r="N109" s="23"/>
      <c r="O109" s="23"/>
      <c r="P109" s="23"/>
      <c r="Q109" s="23"/>
      <c r="R109" s="23"/>
      <c r="S109" s="23"/>
    </row>
    <row r="110" spans="1:19" x14ac:dyDescent="0.2">
      <c r="A110" s="23" t="s">
        <v>19</v>
      </c>
      <c r="B110" s="23"/>
      <c r="C110" s="23"/>
      <c r="D110" s="23"/>
      <c r="E110" s="23"/>
      <c r="F110" s="23"/>
      <c r="G110" s="23"/>
      <c r="H110" s="24">
        <f>H89</f>
        <v>123</v>
      </c>
      <c r="I110" s="24">
        <f t="shared" ref="I110:R110" si="74">I36*($H$110*(1+0.02*(I2-2024)))</f>
        <v>75737938.730055124</v>
      </c>
      <c r="J110" s="24">
        <f t="shared" si="74"/>
        <v>78274496.375064686</v>
      </c>
      <c r="K110" s="24">
        <f t="shared" si="74"/>
        <v>74734465.055514887</v>
      </c>
      <c r="L110" s="24">
        <f t="shared" si="74"/>
        <v>71166553.174814478</v>
      </c>
      <c r="M110" s="24">
        <f t="shared" si="74"/>
        <v>67576284.539985791</v>
      </c>
      <c r="N110" s="24">
        <f t="shared" si="74"/>
        <v>63968870.695121385</v>
      </c>
      <c r="O110" s="24">
        <f t="shared" si="74"/>
        <v>60349219.817341007</v>
      </c>
      <c r="P110" s="24">
        <f t="shared" si="74"/>
        <v>56721945.929851003</v>
      </c>
      <c r="Q110" s="24">
        <f t="shared" si="74"/>
        <v>53091378.356854305</v>
      </c>
      <c r="R110" s="24">
        <f t="shared" si="74"/>
        <v>49461571.352855898</v>
      </c>
      <c r="S110" s="23"/>
    </row>
    <row r="111" spans="1:19" x14ac:dyDescent="0.2">
      <c r="A111" s="23" t="s">
        <v>74</v>
      </c>
      <c r="B111" s="23"/>
      <c r="C111" s="23"/>
      <c r="D111" s="23"/>
      <c r="E111" s="23"/>
      <c r="F111" s="23"/>
      <c r="G111" s="23"/>
      <c r="H111" s="24">
        <f>H90</f>
        <v>123</v>
      </c>
      <c r="I111" s="24">
        <f>I37*($H$111*(1+0.05*(I2-2024)))</f>
        <v>35362500</v>
      </c>
      <c r="J111" s="24">
        <f t="shared" ref="J111:R111" si="75">J37*($H$111*(1+0.05*(J2-2024)))</f>
        <v>36900000</v>
      </c>
      <c r="K111" s="24">
        <f t="shared" si="75"/>
        <v>38437500</v>
      </c>
      <c r="L111" s="24">
        <f t="shared" si="75"/>
        <v>39975000</v>
      </c>
      <c r="M111" s="24">
        <f t="shared" si="75"/>
        <v>41512500</v>
      </c>
      <c r="N111" s="24">
        <f t="shared" si="75"/>
        <v>43050000</v>
      </c>
      <c r="O111" s="24">
        <f t="shared" si="75"/>
        <v>44587500</v>
      </c>
      <c r="P111" s="24">
        <f t="shared" si="75"/>
        <v>46125000</v>
      </c>
      <c r="Q111" s="24">
        <f t="shared" si="75"/>
        <v>47662500</v>
      </c>
      <c r="R111" s="24">
        <f t="shared" si="75"/>
        <v>49200000</v>
      </c>
      <c r="S111" s="23"/>
    </row>
    <row r="112" spans="1:19" x14ac:dyDescent="0.2">
      <c r="A112" s="23" t="s">
        <v>20</v>
      </c>
      <c r="B112" s="23"/>
      <c r="C112" s="23"/>
      <c r="D112" s="23"/>
      <c r="E112" s="23"/>
      <c r="F112" s="23"/>
      <c r="G112" s="23"/>
      <c r="H112" s="24">
        <f>H91</f>
        <v>231</v>
      </c>
      <c r="I112" s="24">
        <f t="shared" ref="I112:R112" si="76">I38*($H$112*(1+0.02*(I2-2024)))</f>
        <v>11348793.062263535</v>
      </c>
      <c r="J112" s="24">
        <f t="shared" si="76"/>
        <v>0</v>
      </c>
      <c r="K112" s="24">
        <f t="shared" si="76"/>
        <v>0</v>
      </c>
      <c r="L112" s="24">
        <f t="shared" si="76"/>
        <v>0</v>
      </c>
      <c r="M112" s="24">
        <f t="shared" si="76"/>
        <v>0</v>
      </c>
      <c r="N112" s="24">
        <f t="shared" si="76"/>
        <v>0</v>
      </c>
      <c r="O112" s="24">
        <f t="shared" si="76"/>
        <v>0</v>
      </c>
      <c r="P112" s="24">
        <f t="shared" si="76"/>
        <v>0</v>
      </c>
      <c r="Q112" s="24">
        <f t="shared" si="76"/>
        <v>0</v>
      </c>
      <c r="R112" s="24">
        <f t="shared" si="76"/>
        <v>0</v>
      </c>
      <c r="S112" s="23" t="s">
        <v>35</v>
      </c>
    </row>
    <row r="113" spans="1:19" x14ac:dyDescent="0.2">
      <c r="A113" s="22" t="s">
        <v>21</v>
      </c>
      <c r="B113" s="22"/>
      <c r="C113" s="22"/>
      <c r="D113" s="22"/>
      <c r="E113" s="22"/>
      <c r="F113" s="22"/>
      <c r="G113" s="22"/>
      <c r="H113" s="22"/>
      <c r="I113" s="26">
        <f>SUM(I110:I112)</f>
        <v>122449231.79231866</v>
      </c>
      <c r="J113" s="26">
        <f t="shared" ref="J113:R113" si="77">SUM(J110:J112)</f>
        <v>115174496.37506469</v>
      </c>
      <c r="K113" s="26">
        <f t="shared" si="77"/>
        <v>113171965.05551489</v>
      </c>
      <c r="L113" s="26">
        <f t="shared" si="77"/>
        <v>111141553.17481448</v>
      </c>
      <c r="M113" s="26">
        <f t="shared" si="77"/>
        <v>109088784.53998579</v>
      </c>
      <c r="N113" s="26">
        <f t="shared" si="77"/>
        <v>107018870.69512138</v>
      </c>
      <c r="O113" s="26">
        <f t="shared" si="77"/>
        <v>104936719.817341</v>
      </c>
      <c r="P113" s="26">
        <f t="shared" si="77"/>
        <v>102846945.929851</v>
      </c>
      <c r="Q113" s="26">
        <f t="shared" si="77"/>
        <v>100753878.3568543</v>
      </c>
      <c r="R113" s="26">
        <f t="shared" si="77"/>
        <v>98661571.352855891</v>
      </c>
      <c r="S113" s="34" t="s">
        <v>22</v>
      </c>
    </row>
    <row r="114" spans="1:19" x14ac:dyDescent="0.2">
      <c r="A114" s="22" t="s">
        <v>25</v>
      </c>
      <c r="J114" s="23"/>
      <c r="K114" s="23"/>
      <c r="L114" s="23"/>
      <c r="M114" s="23"/>
      <c r="N114" s="23"/>
      <c r="O114" s="23"/>
      <c r="P114" s="23"/>
      <c r="Q114" s="23"/>
      <c r="S114" s="26">
        <f>SUM(I113:R113)</f>
        <v>1085244017.0897219</v>
      </c>
    </row>
    <row r="115" spans="1:19" x14ac:dyDescent="0.2">
      <c r="A115" s="23" t="s">
        <v>81</v>
      </c>
      <c r="B115" s="23"/>
      <c r="C115" s="23"/>
      <c r="D115" s="23"/>
      <c r="E115" s="23"/>
      <c r="F115" s="24">
        <f>F62</f>
        <v>220000000</v>
      </c>
      <c r="G115" s="24"/>
      <c r="H115" s="23"/>
      <c r="I115" s="27">
        <f>F115/20</f>
        <v>11000000</v>
      </c>
      <c r="J115" s="27">
        <f>I115</f>
        <v>11000000</v>
      </c>
      <c r="K115" s="27">
        <f t="shared" ref="K115:R115" si="78">J115</f>
        <v>11000000</v>
      </c>
      <c r="L115" s="27">
        <f t="shared" si="78"/>
        <v>11000000</v>
      </c>
      <c r="M115" s="27">
        <f t="shared" si="78"/>
        <v>11000000</v>
      </c>
      <c r="N115" s="27">
        <f t="shared" si="78"/>
        <v>11000000</v>
      </c>
      <c r="O115" s="27">
        <f t="shared" si="78"/>
        <v>11000000</v>
      </c>
      <c r="P115" s="27">
        <f t="shared" si="78"/>
        <v>11000000</v>
      </c>
      <c r="Q115" s="27">
        <f t="shared" si="78"/>
        <v>11000000</v>
      </c>
      <c r="R115" s="27">
        <f t="shared" si="78"/>
        <v>11000000</v>
      </c>
      <c r="S115" s="23"/>
    </row>
    <row r="116" spans="1:19" x14ac:dyDescent="0.2">
      <c r="A116" s="22" t="s">
        <v>24</v>
      </c>
      <c r="B116" s="23"/>
      <c r="C116" s="23"/>
      <c r="D116" s="23"/>
      <c r="E116" s="23"/>
      <c r="F116" s="23"/>
      <c r="G116" s="23"/>
      <c r="H116" s="23"/>
      <c r="I116" s="28">
        <f>SUM(I115+I113)</f>
        <v>133449231.79231866</v>
      </c>
      <c r="J116" s="28">
        <f t="shared" ref="J116:R116" si="79">SUM(J115+J113)</f>
        <v>126174496.37506469</v>
      </c>
      <c r="K116" s="28">
        <f t="shared" si="79"/>
        <v>124171965.05551489</v>
      </c>
      <c r="L116" s="28">
        <f t="shared" si="79"/>
        <v>122141553.17481448</v>
      </c>
      <c r="M116" s="28">
        <f t="shared" si="79"/>
        <v>120088784.53998579</v>
      </c>
      <c r="N116" s="28">
        <f t="shared" si="79"/>
        <v>118018870.69512138</v>
      </c>
      <c r="O116" s="28">
        <f t="shared" si="79"/>
        <v>115936719.817341</v>
      </c>
      <c r="P116" s="28">
        <f t="shared" si="79"/>
        <v>113846945.929851</v>
      </c>
      <c r="Q116" s="28">
        <f t="shared" si="79"/>
        <v>111753878.3568543</v>
      </c>
      <c r="R116" s="28">
        <f t="shared" si="79"/>
        <v>109661571.35285589</v>
      </c>
    </row>
    <row r="117" spans="1:19" x14ac:dyDescent="0.2">
      <c r="A117" s="15" t="s">
        <v>26</v>
      </c>
      <c r="S117" s="26">
        <f>SUM(I116:R116)</f>
        <v>1195244017.0897219</v>
      </c>
    </row>
    <row r="118" spans="1:19" x14ac:dyDescent="0.2">
      <c r="A118" s="15"/>
      <c r="R118" s="26"/>
    </row>
    <row r="119" spans="1:19" x14ac:dyDescent="0.2">
      <c r="A119" s="22" t="s">
        <v>105</v>
      </c>
      <c r="B119" s="22"/>
      <c r="C119" s="22"/>
      <c r="D119" s="23"/>
      <c r="E119" s="23"/>
      <c r="F119" s="23"/>
      <c r="G119" s="23"/>
      <c r="H119" s="23" t="s">
        <v>28</v>
      </c>
      <c r="I119" s="23"/>
      <c r="J119" s="23"/>
      <c r="K119" s="23"/>
      <c r="L119" s="23"/>
      <c r="M119" s="23"/>
      <c r="N119" s="23"/>
      <c r="O119" s="23"/>
      <c r="P119" s="23"/>
      <c r="Q119" s="23"/>
      <c r="R119" s="23"/>
      <c r="S119" s="23"/>
    </row>
    <row r="120" spans="1:19" x14ac:dyDescent="0.2">
      <c r="A120" s="23" t="s">
        <v>19</v>
      </c>
      <c r="B120" s="23"/>
      <c r="C120" s="23"/>
      <c r="D120" s="23"/>
      <c r="E120" s="23"/>
      <c r="F120" s="23"/>
      <c r="G120" s="23"/>
      <c r="H120" s="24">
        <f>H99</f>
        <v>47.643125769627581</v>
      </c>
      <c r="I120" s="24">
        <f t="shared" ref="I120:R120" si="80">I36*($H$120*(1+0.02*(I2-2022)))</f>
        <v>30443560.01298666</v>
      </c>
      <c r="J120" s="24">
        <f t="shared" si="80"/>
        <v>31441965.344727803</v>
      </c>
      <c r="K120" s="24">
        <f t="shared" si="80"/>
        <v>30000481.969556067</v>
      </c>
      <c r="L120" s="24">
        <f t="shared" si="80"/>
        <v>28550323.5370089</v>
      </c>
      <c r="M120" s="24">
        <f t="shared" si="80"/>
        <v>27093592.922490124</v>
      </c>
      <c r="N120" s="24">
        <f t="shared" si="80"/>
        <v>25632270.411006838</v>
      </c>
      <c r="O120" s="24">
        <f t="shared" si="80"/>
        <v>24168217.398545574</v>
      </c>
      <c r="P120" s="24">
        <f t="shared" si="80"/>
        <v>22703180.194810595</v>
      </c>
      <c r="Q120" s="24">
        <f t="shared" si="80"/>
        <v>21238793.899683472</v>
      </c>
      <c r="R120" s="24">
        <f t="shared" si="80"/>
        <v>19776586.328686256</v>
      </c>
      <c r="S120" s="23"/>
    </row>
    <row r="121" spans="1:19" x14ac:dyDescent="0.2">
      <c r="A121" s="23" t="s">
        <v>74</v>
      </c>
      <c r="B121" s="23"/>
      <c r="C121" s="23"/>
      <c r="D121" s="23"/>
      <c r="E121" s="23"/>
      <c r="F121" s="23"/>
      <c r="G121" s="23"/>
      <c r="H121" s="24">
        <f>H100</f>
        <v>78.280771161677052</v>
      </c>
      <c r="I121" s="24">
        <f>I37*($H$121*(1+0.05*(I2-2022)))</f>
        <v>24462740.988024082</v>
      </c>
      <c r="J121" s="24">
        <f t="shared" ref="J121:R121" si="81">J37*($H$121*(1+0.05*(J2-2022)))</f>
        <v>25441250.62754504</v>
      </c>
      <c r="K121" s="24">
        <f t="shared" si="81"/>
        <v>26419760.267066006</v>
      </c>
      <c r="L121" s="24">
        <f t="shared" si="81"/>
        <v>27398269.906586967</v>
      </c>
      <c r="M121" s="24">
        <f t="shared" si="81"/>
        <v>28376779.546107929</v>
      </c>
      <c r="N121" s="24">
        <f t="shared" si="81"/>
        <v>29355289.185628895</v>
      </c>
      <c r="O121" s="24">
        <f t="shared" si="81"/>
        <v>30333798.82514986</v>
      </c>
      <c r="P121" s="24">
        <f t="shared" si="81"/>
        <v>31312308.464670822</v>
      </c>
      <c r="Q121" s="24">
        <f t="shared" si="81"/>
        <v>32290818.104191784</v>
      </c>
      <c r="R121" s="24">
        <f t="shared" si="81"/>
        <v>33269327.743712749</v>
      </c>
      <c r="S121" s="23"/>
    </row>
    <row r="122" spans="1:19" x14ac:dyDescent="0.2">
      <c r="A122" s="23" t="s">
        <v>20</v>
      </c>
      <c r="B122" s="23"/>
      <c r="C122" s="23"/>
      <c r="D122" s="23"/>
      <c r="E122" s="23"/>
      <c r="F122" s="23"/>
      <c r="G122" s="23"/>
      <c r="H122" s="24">
        <f>H101</f>
        <v>117.41999999999999</v>
      </c>
      <c r="I122" s="24">
        <f t="shared" ref="I122:R122" si="82">I38*($H$122*(1+0.02*(I2-2022)))</f>
        <v>5986411.8659972344</v>
      </c>
      <c r="J122" s="24">
        <f t="shared" si="82"/>
        <v>0</v>
      </c>
      <c r="K122" s="24">
        <f t="shared" si="82"/>
        <v>0</v>
      </c>
      <c r="L122" s="24">
        <f t="shared" si="82"/>
        <v>0</v>
      </c>
      <c r="M122" s="24">
        <f t="shared" si="82"/>
        <v>0</v>
      </c>
      <c r="N122" s="24">
        <f t="shared" si="82"/>
        <v>0</v>
      </c>
      <c r="O122" s="24">
        <f t="shared" si="82"/>
        <v>0</v>
      </c>
      <c r="P122" s="24">
        <f t="shared" si="82"/>
        <v>0</v>
      </c>
      <c r="Q122" s="24">
        <f t="shared" si="82"/>
        <v>0</v>
      </c>
      <c r="R122" s="24">
        <f t="shared" si="82"/>
        <v>0</v>
      </c>
      <c r="S122" s="23" t="s">
        <v>36</v>
      </c>
    </row>
    <row r="123" spans="1:19" x14ac:dyDescent="0.2">
      <c r="A123" s="22" t="s">
        <v>21</v>
      </c>
      <c r="B123" s="22"/>
      <c r="C123" s="22"/>
      <c r="D123" s="22"/>
      <c r="E123" s="22"/>
      <c r="F123" s="22"/>
      <c r="G123" s="22"/>
      <c r="H123" s="22"/>
      <c r="I123" s="26">
        <f>SUM(I120:I122)</f>
        <v>60892712.867007978</v>
      </c>
      <c r="J123" s="26">
        <f t="shared" ref="J123:R123" si="83">SUM(J120:J122)</f>
        <v>56883215.972272843</v>
      </c>
      <c r="K123" s="26">
        <f t="shared" si="83"/>
        <v>56420242.236622073</v>
      </c>
      <c r="L123" s="26">
        <f t="shared" si="83"/>
        <v>55948593.443595871</v>
      </c>
      <c r="M123" s="26">
        <f t="shared" si="83"/>
        <v>55470372.468598053</v>
      </c>
      <c r="N123" s="26">
        <f t="shared" si="83"/>
        <v>54987559.596635729</v>
      </c>
      <c r="O123" s="26">
        <f t="shared" si="83"/>
        <v>54502016.223695435</v>
      </c>
      <c r="P123" s="26">
        <f t="shared" si="83"/>
        <v>54015488.659481421</v>
      </c>
      <c r="Q123" s="26">
        <f t="shared" si="83"/>
        <v>53529612.003875256</v>
      </c>
      <c r="R123" s="26">
        <f t="shared" si="83"/>
        <v>53045914.072399005</v>
      </c>
      <c r="S123" s="34" t="s">
        <v>22</v>
      </c>
    </row>
    <row r="124" spans="1:19" x14ac:dyDescent="0.2">
      <c r="A124" s="22" t="s">
        <v>25</v>
      </c>
      <c r="J124" s="23"/>
      <c r="K124" s="23"/>
      <c r="L124" s="23"/>
      <c r="M124" s="23"/>
      <c r="N124" s="23"/>
      <c r="O124" s="23"/>
      <c r="P124" s="23"/>
      <c r="Q124" s="23"/>
      <c r="S124" s="26">
        <f>SUM(I123:R123)</f>
        <v>555695727.54418361</v>
      </c>
    </row>
    <row r="125" spans="1:19" x14ac:dyDescent="0.2">
      <c r="A125" s="23" t="s">
        <v>81</v>
      </c>
      <c r="B125" s="23"/>
      <c r="C125" s="23"/>
      <c r="D125" s="23"/>
      <c r="E125" s="23"/>
      <c r="F125" s="24">
        <f>F53</f>
        <v>220000000</v>
      </c>
      <c r="G125" s="24"/>
      <c r="H125" s="23"/>
      <c r="I125" s="27">
        <f>F125/20</f>
        <v>11000000</v>
      </c>
      <c r="J125" s="27">
        <f>I125</f>
        <v>11000000</v>
      </c>
      <c r="K125" s="27">
        <f t="shared" ref="K125:R125" si="84">J125</f>
        <v>11000000</v>
      </c>
      <c r="L125" s="27">
        <f t="shared" si="84"/>
        <v>11000000</v>
      </c>
      <c r="M125" s="27">
        <f t="shared" si="84"/>
        <v>11000000</v>
      </c>
      <c r="N125" s="27">
        <f t="shared" si="84"/>
        <v>11000000</v>
      </c>
      <c r="O125" s="27">
        <f t="shared" si="84"/>
        <v>11000000</v>
      </c>
      <c r="P125" s="27">
        <f t="shared" si="84"/>
        <v>11000000</v>
      </c>
      <c r="Q125" s="27">
        <f t="shared" si="84"/>
        <v>11000000</v>
      </c>
      <c r="R125" s="27">
        <f t="shared" si="84"/>
        <v>11000000</v>
      </c>
      <c r="S125" s="23"/>
    </row>
    <row r="126" spans="1:19" x14ac:dyDescent="0.2">
      <c r="A126" s="22" t="s">
        <v>24</v>
      </c>
      <c r="B126" s="23"/>
      <c r="C126" s="23"/>
      <c r="D126" s="23"/>
      <c r="E126" s="23"/>
      <c r="F126" s="23"/>
      <c r="G126" s="23"/>
      <c r="H126" s="23"/>
      <c r="I126" s="28">
        <f>SUM(I125+I123)</f>
        <v>71892712.867007971</v>
      </c>
      <c r="J126" s="28">
        <f t="shared" ref="J126:R126" si="85">SUM(J125+J123)</f>
        <v>67883215.972272843</v>
      </c>
      <c r="K126" s="28">
        <f t="shared" si="85"/>
        <v>67420242.236622065</v>
      </c>
      <c r="L126" s="28">
        <f t="shared" si="85"/>
        <v>66948593.443595871</v>
      </c>
      <c r="M126" s="28">
        <f t="shared" si="85"/>
        <v>66470372.468598053</v>
      </c>
      <c r="N126" s="28">
        <f t="shared" si="85"/>
        <v>65987559.596635729</v>
      </c>
      <c r="O126" s="28">
        <f t="shared" si="85"/>
        <v>65502016.223695435</v>
      </c>
      <c r="P126" s="28">
        <f t="shared" si="85"/>
        <v>65015488.659481421</v>
      </c>
      <c r="Q126" s="28">
        <f t="shared" si="85"/>
        <v>64529612.003875256</v>
      </c>
      <c r="R126" s="28">
        <f t="shared" si="85"/>
        <v>64045914.072399005</v>
      </c>
    </row>
    <row r="127" spans="1:19" x14ac:dyDescent="0.2">
      <c r="A127" s="15" t="s">
        <v>26</v>
      </c>
      <c r="S127" s="26">
        <f>SUM(I126:R126)</f>
        <v>665695727.54418373</v>
      </c>
    </row>
    <row r="128" spans="1:19" ht="17" customHeight="1" x14ac:dyDescent="0.2"/>
    <row r="129" spans="1:12" ht="17" customHeight="1" x14ac:dyDescent="0.2">
      <c r="A129" s="32"/>
    </row>
    <row r="134" spans="1:12" s="42" customFormat="1" x14ac:dyDescent="0.2">
      <c r="A134" s="42" t="s">
        <v>38</v>
      </c>
      <c r="D134" s="42" t="s">
        <v>48</v>
      </c>
      <c r="H134" s="43">
        <v>-0.05</v>
      </c>
      <c r="I134" s="42" t="s">
        <v>134</v>
      </c>
    </row>
    <row r="135" spans="1:12" ht="34" x14ac:dyDescent="0.2">
      <c r="A135" s="15" t="s">
        <v>39</v>
      </c>
      <c r="F135" s="44" t="s">
        <v>100</v>
      </c>
      <c r="G135" s="44" t="s">
        <v>135</v>
      </c>
      <c r="H135" s="45" t="s">
        <v>84</v>
      </c>
      <c r="I135" s="15" t="s">
        <v>44</v>
      </c>
      <c r="J135" s="15" t="s">
        <v>45</v>
      </c>
    </row>
    <row r="136" spans="1:12" x14ac:dyDescent="0.2">
      <c r="A136" t="s">
        <v>12</v>
      </c>
      <c r="F136" s="25">
        <f>S55</f>
        <v>1373651397.020798</v>
      </c>
      <c r="G136" s="25">
        <f>F136</f>
        <v>1373651397.020798</v>
      </c>
      <c r="J136" s="13">
        <f>S13-S32</f>
        <v>1340603.776471436</v>
      </c>
      <c r="L136" s="29"/>
    </row>
    <row r="137" spans="1:12" x14ac:dyDescent="0.2">
      <c r="A137" t="s">
        <v>82</v>
      </c>
      <c r="F137" s="25">
        <f>S75</f>
        <v>1813249320.7226567</v>
      </c>
      <c r="G137" s="25">
        <f>F137</f>
        <v>1813249320.7226567</v>
      </c>
      <c r="I137" s="61">
        <f>F136-F137</f>
        <v>-439597923.70185876</v>
      </c>
      <c r="K137" t="s">
        <v>125</v>
      </c>
    </row>
    <row r="138" spans="1:12" x14ac:dyDescent="0.2">
      <c r="A138" t="s">
        <v>83</v>
      </c>
      <c r="F138" s="25">
        <f>S96</f>
        <v>1121938053.9059601</v>
      </c>
      <c r="G138" s="63">
        <f>F138+H138</f>
        <v>1221938053.9059601</v>
      </c>
      <c r="H138" s="47">
        <v>100000000</v>
      </c>
      <c r="I138" s="62">
        <f>F136-F138-H138</f>
        <v>151713343.11483788</v>
      </c>
    </row>
    <row r="139" spans="1:12" x14ac:dyDescent="0.2">
      <c r="A139" t="s">
        <v>103</v>
      </c>
      <c r="F139" s="25">
        <f>S117</f>
        <v>1195244017.0897219</v>
      </c>
      <c r="G139" s="25">
        <f>F139+H139</f>
        <v>1295244017.0897219</v>
      </c>
      <c r="H139" s="40">
        <f>H138</f>
        <v>100000000</v>
      </c>
      <c r="I139" s="62">
        <f>F136-F139-H139</f>
        <v>78407379.93107605</v>
      </c>
      <c r="K139" t="s">
        <v>126</v>
      </c>
    </row>
    <row r="141" spans="1:12" x14ac:dyDescent="0.2">
      <c r="A141" s="15" t="s">
        <v>40</v>
      </c>
      <c r="J141" s="13">
        <f>J136</f>
        <v>1340603.776471436</v>
      </c>
      <c r="L141" s="29"/>
    </row>
    <row r="142" spans="1:12" x14ac:dyDescent="0.2">
      <c r="A142" t="s">
        <v>12</v>
      </c>
      <c r="F142" s="25">
        <f>S64</f>
        <v>734077636.68256271</v>
      </c>
      <c r="G142" s="25">
        <f>F142</f>
        <v>734077636.68256271</v>
      </c>
    </row>
    <row r="143" spans="1:12" x14ac:dyDescent="0.2">
      <c r="A143" t="s">
        <v>82</v>
      </c>
      <c r="F143" s="25">
        <f>S85</f>
        <v>853612970.50686359</v>
      </c>
      <c r="G143" s="25">
        <f>F143</f>
        <v>853612970.50686359</v>
      </c>
      <c r="I143" s="61">
        <f>F142-F143</f>
        <v>-119535333.82430089</v>
      </c>
      <c r="K143" t="s">
        <v>125</v>
      </c>
    </row>
    <row r="144" spans="1:12" ht="17" customHeight="1" x14ac:dyDescent="0.2">
      <c r="A144" t="s">
        <v>83</v>
      </c>
      <c r="F144" s="25">
        <f>S106</f>
        <v>489148791.84418553</v>
      </c>
      <c r="G144" s="63">
        <f>F144+H144</f>
        <v>589148791.84418559</v>
      </c>
      <c r="H144" s="40">
        <f>H138</f>
        <v>100000000</v>
      </c>
      <c r="I144" s="62">
        <f>F142-F144-H144</f>
        <v>144928844.83837718</v>
      </c>
    </row>
    <row r="145" spans="1:19" ht="17" customHeight="1" x14ac:dyDescent="0.2">
      <c r="A145" t="s">
        <v>103</v>
      </c>
      <c r="F145" s="25">
        <f>S127</f>
        <v>665695727.54418373</v>
      </c>
      <c r="G145" s="25">
        <f>F145+H145</f>
        <v>765695727.54418373</v>
      </c>
      <c r="H145" s="40">
        <f>H138</f>
        <v>100000000</v>
      </c>
      <c r="I145" s="61">
        <f>F142-F145-H145</f>
        <v>-31618090.861621022</v>
      </c>
    </row>
    <row r="147" spans="1:19" x14ac:dyDescent="0.2">
      <c r="A147" s="1"/>
    </row>
    <row r="148" spans="1:19" x14ac:dyDescent="0.2">
      <c r="A148" s="23"/>
      <c r="B148" s="23"/>
      <c r="C148" s="23"/>
      <c r="D148" s="23"/>
      <c r="E148" s="23"/>
      <c r="F148" s="23"/>
      <c r="G148" s="23"/>
      <c r="H148" s="23"/>
      <c r="I148" s="24"/>
      <c r="J148" s="23"/>
      <c r="K148" s="23"/>
      <c r="L148" s="23"/>
      <c r="M148" s="23"/>
      <c r="N148" s="23"/>
      <c r="O148" s="23"/>
      <c r="P148" s="23"/>
      <c r="Q148" s="23"/>
      <c r="R148" s="23"/>
      <c r="S148" s="23"/>
    </row>
    <row r="168" spans="1:1" x14ac:dyDescent="0.2">
      <c r="A168" s="1"/>
    </row>
  </sheetData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5041DD-13F8-E449-9390-EE59264FFCE9}">
  <dimension ref="A1:X21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N17" sqref="N17"/>
    </sheetView>
  </sheetViews>
  <sheetFormatPr baseColWidth="10" defaultRowHeight="16" x14ac:dyDescent="0.2"/>
  <cols>
    <col min="5" max="5" width="25.5" customWidth="1"/>
    <col min="7" max="7" width="15" bestFit="1" customWidth="1"/>
    <col min="8" max="10" width="15" customWidth="1"/>
    <col min="13" max="13" width="38.1640625" customWidth="1"/>
    <col min="14" max="14" width="36.1640625" customWidth="1"/>
    <col min="15" max="15" width="11.83203125" customWidth="1"/>
    <col min="22" max="22" width="15" bestFit="1" customWidth="1"/>
  </cols>
  <sheetData>
    <row r="1" spans="1:24" x14ac:dyDescent="0.2">
      <c r="A1" s="22" t="s">
        <v>55</v>
      </c>
      <c r="B1" s="22"/>
      <c r="C1" s="22"/>
      <c r="D1" s="23"/>
      <c r="E1" s="23"/>
      <c r="F1" s="23" t="s">
        <v>18</v>
      </c>
      <c r="G1" t="s">
        <v>73</v>
      </c>
      <c r="H1" t="s">
        <v>76</v>
      </c>
      <c r="I1" t="s">
        <v>77</v>
      </c>
      <c r="J1" t="s">
        <v>75</v>
      </c>
      <c r="K1" t="s">
        <v>78</v>
      </c>
      <c r="L1" t="s">
        <v>60</v>
      </c>
      <c r="M1" t="s">
        <v>56</v>
      </c>
      <c r="N1" t="s">
        <v>41</v>
      </c>
      <c r="O1" t="s">
        <v>57</v>
      </c>
      <c r="V1" t="s">
        <v>108</v>
      </c>
      <c r="W1" t="s">
        <v>109</v>
      </c>
    </row>
    <row r="2" spans="1:24" x14ac:dyDescent="0.2">
      <c r="A2" s="23" t="s">
        <v>19</v>
      </c>
      <c r="B2" s="23"/>
      <c r="C2" s="23"/>
      <c r="D2" s="23"/>
      <c r="E2" s="23"/>
      <c r="F2" s="30">
        <v>64</v>
      </c>
      <c r="O2" t="s">
        <v>72</v>
      </c>
      <c r="U2" t="s">
        <v>107</v>
      </c>
      <c r="V2" s="29">
        <v>32801889</v>
      </c>
      <c r="W2">
        <v>509495</v>
      </c>
      <c r="X2" s="48">
        <f>V2/W2</f>
        <v>64.381179403134482</v>
      </c>
    </row>
    <row r="3" spans="1:24" ht="136" x14ac:dyDescent="0.2">
      <c r="A3" s="23" t="s">
        <v>85</v>
      </c>
      <c r="B3" s="23"/>
      <c r="C3" s="23"/>
      <c r="D3" s="23"/>
      <c r="E3" s="23"/>
      <c r="F3" s="30">
        <f>L3</f>
        <v>107.23583695223056</v>
      </c>
      <c r="G3" s="29">
        <v>33616947</v>
      </c>
      <c r="H3" s="29">
        <f>3649146+2000000 +1600000</f>
        <v>7249146</v>
      </c>
      <c r="I3" s="29">
        <v>291477</v>
      </c>
      <c r="J3" s="25">
        <f>G3-H3-I3</f>
        <v>26076324</v>
      </c>
      <c r="K3" s="4">
        <v>243168</v>
      </c>
      <c r="L3">
        <f>J3/K3</f>
        <v>107.23583695223056</v>
      </c>
      <c r="M3" s="36" t="s">
        <v>79</v>
      </c>
      <c r="N3" s="36"/>
      <c r="O3" t="s">
        <v>65</v>
      </c>
      <c r="V3" s="29">
        <v>24079057</v>
      </c>
      <c r="W3">
        <v>243169</v>
      </c>
      <c r="X3" s="48">
        <f t="shared" ref="X3:X4" si="0">V3/W3</f>
        <v>99.021902462896179</v>
      </c>
    </row>
    <row r="4" spans="1:24" x14ac:dyDescent="0.2">
      <c r="A4" s="23" t="s">
        <v>20</v>
      </c>
      <c r="B4" s="23"/>
      <c r="C4" s="23"/>
      <c r="D4" s="23"/>
      <c r="E4" s="23"/>
      <c r="F4" s="30">
        <v>171</v>
      </c>
      <c r="O4" t="s">
        <v>72</v>
      </c>
      <c r="V4" s="29">
        <v>25964738</v>
      </c>
      <c r="W4">
        <v>151539</v>
      </c>
      <c r="X4" s="48">
        <f t="shared" si="0"/>
        <v>171.34030183649094</v>
      </c>
    </row>
    <row r="5" spans="1:24" x14ac:dyDescent="0.2">
      <c r="A5" s="22" t="s">
        <v>21</v>
      </c>
      <c r="B5" s="22"/>
      <c r="C5" s="22"/>
      <c r="D5" s="22"/>
      <c r="E5" s="22"/>
      <c r="F5" s="22"/>
    </row>
    <row r="6" spans="1:24" x14ac:dyDescent="0.2">
      <c r="A6" s="22" t="s">
        <v>25</v>
      </c>
    </row>
    <row r="7" spans="1:24" x14ac:dyDescent="0.2">
      <c r="A7" s="23" t="s">
        <v>23</v>
      </c>
      <c r="B7" s="23"/>
      <c r="C7" s="23"/>
      <c r="D7" s="23"/>
      <c r="E7" s="27">
        <v>220000000</v>
      </c>
      <c r="F7" s="23"/>
    </row>
    <row r="8" spans="1:24" x14ac:dyDescent="0.2">
      <c r="A8" s="22" t="s">
        <v>24</v>
      </c>
      <c r="B8" s="23"/>
      <c r="C8" s="23"/>
      <c r="D8" s="23"/>
      <c r="E8" s="23"/>
      <c r="F8" s="23"/>
    </row>
    <row r="9" spans="1:24" x14ac:dyDescent="0.2">
      <c r="A9" s="15" t="s">
        <v>26</v>
      </c>
    </row>
    <row r="11" spans="1:24" x14ac:dyDescent="0.2">
      <c r="A11" s="22" t="s">
        <v>63</v>
      </c>
      <c r="B11" s="22"/>
      <c r="C11" s="22"/>
      <c r="D11" s="23"/>
      <c r="E11" s="23"/>
      <c r="F11" s="23" t="s">
        <v>28</v>
      </c>
      <c r="G11" t="s">
        <v>58</v>
      </c>
      <c r="H11" t="s">
        <v>67</v>
      </c>
      <c r="I11" t="s">
        <v>68</v>
      </c>
      <c r="J11" t="s">
        <v>69</v>
      </c>
      <c r="K11" t="s">
        <v>59</v>
      </c>
      <c r="L11" t="s">
        <v>60</v>
      </c>
    </row>
    <row r="12" spans="1:24" ht="50" customHeight="1" x14ac:dyDescent="0.2">
      <c r="A12" s="23" t="s">
        <v>19</v>
      </c>
      <c r="B12" s="23"/>
      <c r="C12" s="23"/>
      <c r="D12" s="23"/>
      <c r="E12" s="23"/>
      <c r="F12" s="24">
        <f>L12</f>
        <v>47.643125769627581</v>
      </c>
      <c r="G12" s="29">
        <f>31493726</f>
        <v>31493726</v>
      </c>
      <c r="H12" s="29"/>
      <c r="I12" s="29"/>
      <c r="J12" s="29"/>
      <c r="K12" s="38">
        <f>'Base Scenarios'!E8+'Base Scenarios'!E6</f>
        <v>661034</v>
      </c>
      <c r="L12" s="37">
        <f>G12/K12</f>
        <v>47.643125769627581</v>
      </c>
      <c r="M12" s="59" t="s">
        <v>124</v>
      </c>
      <c r="N12" s="36" t="s">
        <v>62</v>
      </c>
      <c r="O12" t="s">
        <v>61</v>
      </c>
    </row>
    <row r="13" spans="1:24" ht="51" x14ac:dyDescent="0.2">
      <c r="A13" s="23" t="s">
        <v>86</v>
      </c>
      <c r="B13" s="23"/>
      <c r="C13" s="23"/>
      <c r="D13" s="23"/>
      <c r="E13" s="23"/>
      <c r="F13" s="24">
        <f>L13</f>
        <v>78.280771161677052</v>
      </c>
      <c r="G13" s="39">
        <f>24308868</f>
        <v>24308868</v>
      </c>
      <c r="H13" s="39">
        <v>5705028</v>
      </c>
      <c r="I13" s="39">
        <v>360428</v>
      </c>
      <c r="J13" s="39">
        <f>G13-H13-I13</f>
        <v>18243412</v>
      </c>
      <c r="K13" s="4">
        <v>233051</v>
      </c>
      <c r="L13" s="37">
        <f>J13/K13</f>
        <v>78.280771161677052</v>
      </c>
      <c r="M13" s="36" t="s">
        <v>66</v>
      </c>
      <c r="N13" s="36" t="s">
        <v>64</v>
      </c>
      <c r="O13" t="s">
        <v>65</v>
      </c>
    </row>
    <row r="14" spans="1:24" ht="34" x14ac:dyDescent="0.2">
      <c r="A14" s="23" t="s">
        <v>20</v>
      </c>
      <c r="F14" s="25">
        <f>L14</f>
        <v>117.41999999999999</v>
      </c>
      <c r="L14" s="24">
        <f>103*(1.14)</f>
        <v>117.41999999999999</v>
      </c>
      <c r="M14" s="36" t="s">
        <v>70</v>
      </c>
      <c r="O14" t="s">
        <v>71</v>
      </c>
    </row>
    <row r="21" spans="2:2" x14ac:dyDescent="0.2">
      <c r="B21" t="s">
        <v>87</v>
      </c>
    </row>
  </sheetData>
  <pageMargins left="0.7" right="0.7" top="0.75" bottom="0.75" header="0.3" footer="0.3"/>
  <drawing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8463CD-C063-9540-B10C-871ACD236619}">
  <dimension ref="A1:U177"/>
  <sheetViews>
    <sheetView topLeftCell="A116" workbookViewId="0">
      <selection activeCell="I137" sqref="I137"/>
    </sheetView>
  </sheetViews>
  <sheetFormatPr baseColWidth="10" defaultRowHeight="16" x14ac:dyDescent="0.2"/>
  <cols>
    <col min="1" max="1" width="40.33203125" customWidth="1"/>
    <col min="2" max="2" width="13" customWidth="1"/>
    <col min="6" max="6" width="16" bestFit="1" customWidth="1"/>
    <col min="7" max="7" width="16" customWidth="1"/>
    <col min="8" max="8" width="15.83203125" customWidth="1"/>
    <col min="9" max="18" width="14.6640625" customWidth="1"/>
    <col min="19" max="19" width="18" customWidth="1"/>
  </cols>
  <sheetData>
    <row r="1" spans="1:21" ht="34" x14ac:dyDescent="0.2">
      <c r="A1" s="1" t="s">
        <v>0</v>
      </c>
      <c r="B1" s="2" t="s">
        <v>1</v>
      </c>
      <c r="C1" s="2"/>
      <c r="D1" s="2"/>
      <c r="E1" s="2"/>
      <c r="F1" s="36" t="s">
        <v>112</v>
      </c>
      <c r="G1" s="53" t="s">
        <v>114</v>
      </c>
      <c r="H1" s="2" t="s">
        <v>2</v>
      </c>
      <c r="I1" s="3" t="s">
        <v>3</v>
      </c>
      <c r="J1" s="3"/>
      <c r="K1" s="3"/>
      <c r="L1" s="3"/>
      <c r="M1" s="3"/>
      <c r="N1" s="3"/>
      <c r="O1" s="3"/>
      <c r="P1" s="3"/>
      <c r="Q1" s="3"/>
      <c r="R1" s="3"/>
    </row>
    <row r="2" spans="1:21" s="15" customFormat="1" x14ac:dyDescent="0.2">
      <c r="A2" s="15" t="s">
        <v>4</v>
      </c>
      <c r="B2" s="15">
        <v>2010</v>
      </c>
      <c r="C2" s="15">
        <v>2020</v>
      </c>
      <c r="D2" s="15">
        <v>2022</v>
      </c>
      <c r="E2" s="15">
        <v>2024</v>
      </c>
      <c r="I2" s="15">
        <v>2027</v>
      </c>
      <c r="J2" s="15">
        <f>I2+1</f>
        <v>2028</v>
      </c>
      <c r="K2" s="15">
        <f t="shared" ref="K2:Q2" si="0">J2+1</f>
        <v>2029</v>
      </c>
      <c r="L2" s="15">
        <f t="shared" si="0"/>
        <v>2030</v>
      </c>
      <c r="M2" s="15">
        <f t="shared" si="0"/>
        <v>2031</v>
      </c>
      <c r="N2" s="15">
        <f t="shared" si="0"/>
        <v>2032</v>
      </c>
      <c r="O2" s="15">
        <f t="shared" si="0"/>
        <v>2033</v>
      </c>
      <c r="P2" s="15">
        <f t="shared" si="0"/>
        <v>2034</v>
      </c>
      <c r="Q2" s="15">
        <f t="shared" si="0"/>
        <v>2035</v>
      </c>
      <c r="R2" s="15">
        <f>Q2+1</f>
        <v>2036</v>
      </c>
      <c r="S2" s="15" t="s">
        <v>110</v>
      </c>
    </row>
    <row r="3" spans="1:21" x14ac:dyDescent="0.2">
      <c r="A3" t="s">
        <v>5</v>
      </c>
      <c r="B3" s="4">
        <v>2351496</v>
      </c>
      <c r="C3" s="4">
        <v>2766953</v>
      </c>
      <c r="D3" s="4">
        <v>2854375</v>
      </c>
      <c r="E3" s="4">
        <v>3124079</v>
      </c>
      <c r="F3" s="9"/>
      <c r="G3" s="9"/>
      <c r="H3" s="5"/>
      <c r="I3" s="4">
        <f>3124079+3*42500</f>
        <v>3251579</v>
      </c>
      <c r="J3" s="4">
        <f>I3+42500</f>
        <v>3294079</v>
      </c>
      <c r="K3" s="4">
        <f t="shared" ref="K3:R3" si="1">J3+42500</f>
        <v>3336579</v>
      </c>
      <c r="L3" s="4">
        <f t="shared" si="1"/>
        <v>3379079</v>
      </c>
      <c r="M3" s="4">
        <f t="shared" si="1"/>
        <v>3421579</v>
      </c>
      <c r="N3" s="4">
        <f t="shared" si="1"/>
        <v>3464079</v>
      </c>
      <c r="O3" s="4">
        <f t="shared" si="1"/>
        <v>3506579</v>
      </c>
      <c r="P3" s="4">
        <f t="shared" si="1"/>
        <v>3549079</v>
      </c>
      <c r="Q3" s="4">
        <f t="shared" si="1"/>
        <v>3591579</v>
      </c>
      <c r="R3" s="4">
        <f t="shared" si="1"/>
        <v>3634079</v>
      </c>
      <c r="S3" t="s">
        <v>6</v>
      </c>
    </row>
    <row r="4" spans="1:21" ht="19" customHeight="1" x14ac:dyDescent="0.2">
      <c r="A4" t="s">
        <v>7</v>
      </c>
      <c r="B4" s="6">
        <f>B13/B3</f>
        <v>0.60131933033269036</v>
      </c>
      <c r="C4" s="6">
        <f>C13/C3</f>
        <v>0.45757553525484529</v>
      </c>
      <c r="D4" s="6">
        <f>D13/D3</f>
        <v>0.44091964090212393</v>
      </c>
      <c r="E4" s="6">
        <f>E13/E3</f>
        <v>0.40831361818955281</v>
      </c>
      <c r="F4" s="52">
        <f>E4/B4-1</f>
        <v>-0.32097041024168271</v>
      </c>
      <c r="G4" s="52"/>
      <c r="H4" s="8">
        <f>F4/14</f>
        <v>-2.292645787440591E-2</v>
      </c>
      <c r="I4" s="9">
        <f>E4*(1+3*H4)</f>
        <v>0.38023006328864567</v>
      </c>
      <c r="J4" s="9">
        <f>I4*(1+$H$4)</f>
        <v>0.37151273476007585</v>
      </c>
      <c r="K4" s="9">
        <f t="shared" ref="K4:R4" si="2">J4*(1+$H$4)</f>
        <v>0.36299526369679364</v>
      </c>
      <c r="L4" s="9">
        <f t="shared" si="2"/>
        <v>0.35467306807504023</v>
      </c>
      <c r="M4" s="9">
        <f t="shared" si="2"/>
        <v>0.34654167092063148</v>
      </c>
      <c r="N4" s="9">
        <f t="shared" si="2"/>
        <v>0.33859669790054336</v>
      </c>
      <c r="O4" s="9">
        <f t="shared" si="2"/>
        <v>0.33083387496971361</v>
      </c>
      <c r="P4" s="9">
        <f t="shared" si="2"/>
        <v>0.32324902607179401</v>
      </c>
      <c r="Q4" s="9">
        <f t="shared" si="2"/>
        <v>0.31583807089261628</v>
      </c>
      <c r="R4" s="9">
        <f t="shared" si="2"/>
        <v>0.30859702266516309</v>
      </c>
      <c r="T4" s="9"/>
    </row>
    <row r="5" spans="1:21" s="21" customFormat="1" ht="17" customHeight="1" x14ac:dyDescent="0.2">
      <c r="A5" s="16" t="s">
        <v>12</v>
      </c>
      <c r="B5" s="17"/>
      <c r="C5" s="17"/>
      <c r="D5" s="17"/>
      <c r="E5" s="17"/>
      <c r="F5" s="18"/>
      <c r="H5" s="19"/>
      <c r="I5" s="20"/>
      <c r="J5" s="20"/>
      <c r="K5" s="20"/>
      <c r="L5" s="20"/>
      <c r="M5" s="20"/>
      <c r="N5" s="20"/>
      <c r="O5" s="20"/>
      <c r="P5" s="20"/>
      <c r="Q5" s="20"/>
      <c r="R5" s="20"/>
    </row>
    <row r="6" spans="1:21" x14ac:dyDescent="0.2">
      <c r="A6" s="10" t="s">
        <v>8</v>
      </c>
      <c r="B6" s="4">
        <v>567817</v>
      </c>
      <c r="C6" s="4">
        <f>615596+44138</f>
        <v>659734</v>
      </c>
      <c r="D6" s="4">
        <v>691083</v>
      </c>
      <c r="E6" s="4">
        <v>509495</v>
      </c>
      <c r="F6" s="7">
        <f>D6/B6-1</f>
        <v>0.21708754757254534</v>
      </c>
      <c r="G6" s="7">
        <f>E6/(E6+E9)</f>
        <v>0.7372414022628252</v>
      </c>
      <c r="H6" s="8">
        <f>F6/12</f>
        <v>1.8090628964378779E-2</v>
      </c>
      <c r="I6" s="11">
        <f>750000-I9</f>
        <v>580901.50889749289</v>
      </c>
      <c r="J6" s="11">
        <f t="shared" ref="J6:L6" si="3">750000-J9</f>
        <v>584778.33833038015</v>
      </c>
      <c r="K6" s="11">
        <f t="shared" si="3"/>
        <v>588566.28579658805</v>
      </c>
      <c r="L6" s="11">
        <f t="shared" si="3"/>
        <v>592267.38904478145</v>
      </c>
      <c r="M6" s="11">
        <f>M13-M10-M9-M7</f>
        <v>591603.34295220964</v>
      </c>
      <c r="N6" s="11">
        <f t="shared" ref="N6:R6" si="4">N13-N10-N9-N7</f>
        <v>582342.69202769268</v>
      </c>
      <c r="O6" s="11">
        <f t="shared" si="4"/>
        <v>572964.43505192571</v>
      </c>
      <c r="P6" s="11">
        <f t="shared" si="4"/>
        <v>563478.83221148769</v>
      </c>
      <c r="Q6" s="11">
        <f t="shared" si="4"/>
        <v>553895.73504986905</v>
      </c>
      <c r="R6" s="11">
        <f t="shared" si="4"/>
        <v>544224.59981196595</v>
      </c>
    </row>
    <row r="7" spans="1:21" x14ac:dyDescent="0.2">
      <c r="A7" s="10" t="s">
        <v>89</v>
      </c>
      <c r="B7" s="4">
        <v>284468</v>
      </c>
      <c r="C7" s="4">
        <v>244362</v>
      </c>
      <c r="D7" s="4">
        <v>233051</v>
      </c>
      <c r="E7" s="4">
        <v>243169</v>
      </c>
      <c r="F7" s="7">
        <f>E7/B7-1</f>
        <v>-0.14517977417495109</v>
      </c>
      <c r="G7" s="7"/>
      <c r="H7" s="8">
        <f t="shared" ref="H7:H13" si="5">F7/12</f>
        <v>-1.2098314514579258E-2</v>
      </c>
      <c r="I7" s="54">
        <v>250000</v>
      </c>
      <c r="J7" s="54">
        <f>$I$7</f>
        <v>250000</v>
      </c>
      <c r="K7" s="54">
        <f t="shared" ref="K7:R7" si="6">$I$7</f>
        <v>250000</v>
      </c>
      <c r="L7" s="54">
        <f t="shared" si="6"/>
        <v>250000</v>
      </c>
      <c r="M7" s="54">
        <f t="shared" si="6"/>
        <v>250000</v>
      </c>
      <c r="N7" s="54">
        <f t="shared" si="6"/>
        <v>250000</v>
      </c>
      <c r="O7" s="54">
        <f t="shared" si="6"/>
        <v>250000</v>
      </c>
      <c r="P7" s="54">
        <f t="shared" si="6"/>
        <v>250000</v>
      </c>
      <c r="Q7" s="54">
        <f t="shared" si="6"/>
        <v>250000</v>
      </c>
      <c r="R7" s="54">
        <f t="shared" si="6"/>
        <v>250000</v>
      </c>
      <c r="S7" t="s">
        <v>31</v>
      </c>
      <c r="T7" t="s">
        <v>117</v>
      </c>
    </row>
    <row r="8" spans="1:21" x14ac:dyDescent="0.2">
      <c r="A8" s="10" t="s">
        <v>9</v>
      </c>
      <c r="B8" s="4">
        <f>396384</f>
        <v>396384</v>
      </c>
      <c r="C8" s="4">
        <f>35340</f>
        <v>35340</v>
      </c>
      <c r="D8" s="4">
        <f>144603</f>
        <v>144603</v>
      </c>
      <c r="E8" s="4">
        <v>151539</v>
      </c>
      <c r="F8" s="7">
        <f t="shared" ref="F8" si="7">D8/B8-1</f>
        <v>-0.6351946597239041</v>
      </c>
      <c r="G8" s="7"/>
      <c r="H8" s="8">
        <f t="shared" si="5"/>
        <v>-5.2932888310325339E-2</v>
      </c>
      <c r="I8" s="13">
        <f>I13-I10-I7-750000</f>
        <v>46348.088958031265</v>
      </c>
      <c r="J8" s="13">
        <f>J13-J10-J7-750000</f>
        <v>33792.297805735841</v>
      </c>
      <c r="K8" s="13">
        <f t="shared" ref="K8" si="8">K13-K10-K7-750000</f>
        <v>21162.37395018409</v>
      </c>
      <c r="L8" s="13">
        <f>L13-L10-L7-750000</f>
        <v>8468.3161979389843</v>
      </c>
      <c r="M8" s="13"/>
      <c r="N8" s="13"/>
      <c r="O8" s="13"/>
      <c r="P8" s="13"/>
      <c r="Q8" s="13"/>
      <c r="R8" s="13"/>
    </row>
    <row r="9" spans="1:21" x14ac:dyDescent="0.2">
      <c r="A9" s="14" t="s">
        <v>111</v>
      </c>
      <c r="B9" s="49" t="s">
        <v>113</v>
      </c>
      <c r="C9" s="49" t="s">
        <v>113</v>
      </c>
      <c r="D9" s="49" t="s">
        <v>113</v>
      </c>
      <c r="E9" s="49">
        <f>D6-E6</f>
        <v>181588</v>
      </c>
      <c r="F9" s="7">
        <f>F6</f>
        <v>0.21708754757254534</v>
      </c>
      <c r="G9" s="7">
        <f>E9/(E9+E6)</f>
        <v>0.26275859773717486</v>
      </c>
      <c r="H9" s="51"/>
      <c r="I9" s="57">
        <f>E9*(1+3*H4)</f>
        <v>169098.49110250713</v>
      </c>
      <c r="J9" s="57">
        <f>I9*(1+$H$4)</f>
        <v>165221.66166961991</v>
      </c>
      <c r="K9" s="57">
        <f t="shared" ref="K9:R9" si="9">J9*(1+$H$4)</f>
        <v>161433.714203412</v>
      </c>
      <c r="L9" s="57">
        <f t="shared" si="9"/>
        <v>157732.61095521858</v>
      </c>
      <c r="M9" s="57">
        <f t="shared" si="9"/>
        <v>154116.36089473369</v>
      </c>
      <c r="N9" s="57">
        <f t="shared" si="9"/>
        <v>150583.01863892382</v>
      </c>
      <c r="O9" s="57">
        <f t="shared" si="9"/>
        <v>147130.68340549764</v>
      </c>
      <c r="P9" s="57">
        <f t="shared" si="9"/>
        <v>143757.49799036892</v>
      </c>
      <c r="Q9" s="57">
        <f t="shared" si="9"/>
        <v>140461.64776856275</v>
      </c>
      <c r="R9" s="57">
        <f t="shared" si="9"/>
        <v>137241.35971802715</v>
      </c>
      <c r="T9" s="55" t="s">
        <v>118</v>
      </c>
      <c r="U9" t="s">
        <v>119</v>
      </c>
    </row>
    <row r="10" spans="1:21" ht="17" customHeight="1" x14ac:dyDescent="0.2">
      <c r="A10" s="14" t="s">
        <v>10</v>
      </c>
      <c r="B10" s="4">
        <v>165331</v>
      </c>
      <c r="C10" s="4">
        <v>326654</v>
      </c>
      <c r="D10" s="4">
        <v>189813</v>
      </c>
      <c r="E10" s="4">
        <f>D10</f>
        <v>189813</v>
      </c>
      <c r="F10" s="7">
        <f>D10/B10-1</f>
        <v>0.14807870272362722</v>
      </c>
      <c r="G10" s="7"/>
      <c r="H10" s="8">
        <f>F10/12</f>
        <v>1.2339891893635602E-2</v>
      </c>
      <c r="I10" s="54">
        <v>190000</v>
      </c>
      <c r="J10" s="54">
        <f>I10</f>
        <v>190000</v>
      </c>
      <c r="K10" s="54">
        <f t="shared" ref="K10:R10" si="10">J10</f>
        <v>190000</v>
      </c>
      <c r="L10" s="54">
        <f t="shared" si="10"/>
        <v>190000</v>
      </c>
      <c r="M10" s="54">
        <f t="shared" si="10"/>
        <v>190000</v>
      </c>
      <c r="N10" s="54">
        <f t="shared" si="10"/>
        <v>190000</v>
      </c>
      <c r="O10" s="54">
        <f t="shared" si="10"/>
        <v>190000</v>
      </c>
      <c r="P10" s="54">
        <f t="shared" si="10"/>
        <v>190000</v>
      </c>
      <c r="Q10" s="54">
        <f t="shared" si="10"/>
        <v>190000</v>
      </c>
      <c r="R10" s="54">
        <f t="shared" si="10"/>
        <v>190000</v>
      </c>
      <c r="T10" t="s">
        <v>117</v>
      </c>
    </row>
    <row r="11" spans="1:21" ht="17" customHeight="1" x14ac:dyDescent="0.2">
      <c r="A11" t="s">
        <v>115</v>
      </c>
      <c r="B11" s="49"/>
      <c r="C11" s="49"/>
      <c r="D11" s="49"/>
      <c r="E11" s="49"/>
      <c r="F11" s="50"/>
      <c r="G11" s="50"/>
      <c r="H11" s="51"/>
      <c r="I11" s="11">
        <f>SUM(I6:I10)</f>
        <v>1236348.0889580313</v>
      </c>
      <c r="J11" s="11">
        <f t="shared" ref="J11:R11" si="11">SUM(J6:J10)</f>
        <v>1223792.2978057358</v>
      </c>
      <c r="K11" s="11">
        <f t="shared" si="11"/>
        <v>1211162.3739501841</v>
      </c>
      <c r="L11" s="11">
        <f t="shared" si="11"/>
        <v>1198468.316197939</v>
      </c>
      <c r="M11" s="11">
        <f>SUM(M6:M10)</f>
        <v>1185719.7038469433</v>
      </c>
      <c r="N11" s="11">
        <f t="shared" si="11"/>
        <v>1172925.7106666164</v>
      </c>
      <c r="O11" s="11">
        <f t="shared" si="11"/>
        <v>1160095.1184574233</v>
      </c>
      <c r="P11" s="11">
        <f t="shared" si="11"/>
        <v>1147236.3302018566</v>
      </c>
      <c r="Q11" s="11">
        <f t="shared" si="11"/>
        <v>1134357.3828184318</v>
      </c>
      <c r="R11" s="11">
        <f t="shared" si="11"/>
        <v>1121465.9595299931</v>
      </c>
    </row>
    <row r="12" spans="1:21" ht="17" customHeight="1" x14ac:dyDescent="0.2">
      <c r="A12" t="s">
        <v>116</v>
      </c>
      <c r="B12" s="49"/>
      <c r="C12" s="49"/>
      <c r="D12" s="49"/>
      <c r="E12" s="49">
        <f>E9+E6</f>
        <v>691083</v>
      </c>
      <c r="F12" s="50"/>
      <c r="G12" s="50"/>
      <c r="H12" s="51"/>
      <c r="I12" s="54">
        <f>I9+I6</f>
        <v>750000</v>
      </c>
      <c r="J12" s="54">
        <f>I12</f>
        <v>750000</v>
      </c>
      <c r="K12" s="54">
        <f>J12</f>
        <v>750000</v>
      </c>
      <c r="L12" s="54">
        <f t="shared" ref="L12:R12" si="12">L9+L6</f>
        <v>750000</v>
      </c>
      <c r="M12" s="54">
        <f t="shared" si="12"/>
        <v>745719.70384694333</v>
      </c>
      <c r="N12" s="54">
        <f t="shared" si="12"/>
        <v>732925.71066661645</v>
      </c>
      <c r="O12" s="54">
        <f t="shared" si="12"/>
        <v>720095.11845742329</v>
      </c>
      <c r="P12" s="54">
        <f t="shared" si="12"/>
        <v>707236.33020185656</v>
      </c>
      <c r="Q12" s="54">
        <f t="shared" si="12"/>
        <v>694357.38281843183</v>
      </c>
      <c r="R12" s="54">
        <f t="shared" si="12"/>
        <v>681465.95952999312</v>
      </c>
      <c r="S12" t="s">
        <v>31</v>
      </c>
      <c r="T12" t="s">
        <v>117</v>
      </c>
    </row>
    <row r="13" spans="1:21" x14ac:dyDescent="0.2">
      <c r="A13" t="s">
        <v>11</v>
      </c>
      <c r="B13" s="4">
        <f>SUM(B6:B10)</f>
        <v>1414000</v>
      </c>
      <c r="C13" s="4">
        <f>SUM(C6:C10)</f>
        <v>1266090</v>
      </c>
      <c r="D13" s="4">
        <f>SUM(D6:D10)</f>
        <v>1258550</v>
      </c>
      <c r="E13" s="4">
        <f>SUM(E6:E10)</f>
        <v>1275604</v>
      </c>
      <c r="F13" s="7">
        <f>E13/B13-1</f>
        <v>-9.7875530410183931E-2</v>
      </c>
      <c r="G13" s="7"/>
      <c r="H13" s="8">
        <f t="shared" si="5"/>
        <v>-8.1562942008486603E-3</v>
      </c>
      <c r="I13" s="4">
        <f t="shared" ref="I13:R13" si="13">I3*I4</f>
        <v>1236348.0889580313</v>
      </c>
      <c r="J13" s="4">
        <f t="shared" si="13"/>
        <v>1223792.2978057358</v>
      </c>
      <c r="K13" s="4">
        <f t="shared" si="13"/>
        <v>1211162.3739501841</v>
      </c>
      <c r="L13" s="4">
        <f t="shared" si="13"/>
        <v>1198468.316197939</v>
      </c>
      <c r="M13" s="4">
        <f t="shared" si="13"/>
        <v>1185719.7038469433</v>
      </c>
      <c r="N13" s="4">
        <f t="shared" si="13"/>
        <v>1172925.7106666164</v>
      </c>
      <c r="O13" s="4">
        <f t="shared" si="13"/>
        <v>1160095.1184574233</v>
      </c>
      <c r="P13" s="4">
        <f t="shared" si="13"/>
        <v>1147236.3302018566</v>
      </c>
      <c r="Q13" s="4">
        <f t="shared" si="13"/>
        <v>1134357.3828184318</v>
      </c>
      <c r="R13" s="4">
        <f t="shared" si="13"/>
        <v>1121465.9595299931</v>
      </c>
      <c r="S13" s="13">
        <f>SUM(I13:R13)</f>
        <v>11791571.282433156</v>
      </c>
      <c r="T13" t="s">
        <v>120</v>
      </c>
    </row>
    <row r="14" spans="1:21" s="21" customFormat="1" ht="17" customHeight="1" x14ac:dyDescent="0.2">
      <c r="A14" s="16" t="s">
        <v>13</v>
      </c>
      <c r="B14" s="17"/>
      <c r="C14" s="17"/>
      <c r="D14" s="17"/>
      <c r="E14" s="17"/>
      <c r="F14" s="18"/>
      <c r="G14" s="18"/>
      <c r="H14" s="19"/>
      <c r="I14" s="20"/>
      <c r="J14" s="20"/>
      <c r="K14" s="20"/>
      <c r="L14" s="20"/>
      <c r="M14" s="20"/>
      <c r="N14" s="20"/>
      <c r="O14" s="20"/>
      <c r="P14" s="20"/>
      <c r="Q14" s="20"/>
      <c r="R14" s="20"/>
    </row>
    <row r="15" spans="1:21" x14ac:dyDescent="0.2">
      <c r="A15" s="10" t="s">
        <v>8</v>
      </c>
      <c r="B15" s="4"/>
      <c r="C15" s="4"/>
      <c r="D15" s="4"/>
      <c r="E15" s="4"/>
      <c r="F15" s="7"/>
      <c r="G15" s="7"/>
      <c r="H15" s="8"/>
      <c r="I15" s="11">
        <f>I6</f>
        <v>580901.50889749289</v>
      </c>
      <c r="J15" s="11">
        <f t="shared" ref="J15:R15" si="14">750000-J18</f>
        <v>584778.33833038015</v>
      </c>
      <c r="K15" s="11">
        <f t="shared" si="14"/>
        <v>588566.28579658805</v>
      </c>
      <c r="L15" s="11">
        <f t="shared" si="14"/>
        <v>592267.38904478145</v>
      </c>
      <c r="M15" s="11">
        <f t="shared" si="14"/>
        <v>595883.63910526631</v>
      </c>
      <c r="N15" s="11">
        <f t="shared" si="14"/>
        <v>599416.98136107624</v>
      </c>
      <c r="O15" s="11">
        <f t="shared" si="14"/>
        <v>602869.31659450242</v>
      </c>
      <c r="P15" s="11">
        <f t="shared" si="14"/>
        <v>606242.50200963113</v>
      </c>
      <c r="Q15" s="11">
        <f t="shared" si="14"/>
        <v>609538.35223143722</v>
      </c>
      <c r="R15" s="11">
        <f t="shared" si="14"/>
        <v>612758.64028197282</v>
      </c>
    </row>
    <row r="16" spans="1:21" x14ac:dyDescent="0.2">
      <c r="A16" s="10" t="s">
        <v>89</v>
      </c>
      <c r="B16" s="4"/>
      <c r="C16" s="4"/>
      <c r="D16" s="4"/>
      <c r="E16" s="4"/>
      <c r="F16" s="7"/>
      <c r="G16" s="7"/>
      <c r="H16" s="8"/>
      <c r="I16" s="54">
        <v>250000</v>
      </c>
      <c r="J16" s="12"/>
      <c r="K16" s="12"/>
      <c r="L16" s="12"/>
      <c r="M16" s="12"/>
      <c r="N16" s="12"/>
      <c r="O16" s="12"/>
      <c r="P16" s="12"/>
      <c r="Q16" s="12"/>
      <c r="R16" s="12"/>
    </row>
    <row r="17" spans="1:20" x14ac:dyDescent="0.2">
      <c r="A17" s="10" t="s">
        <v>9</v>
      </c>
      <c r="B17" s="4"/>
      <c r="C17" s="4"/>
      <c r="D17" s="4"/>
      <c r="E17" s="4"/>
      <c r="F17" s="7"/>
      <c r="G17" s="7"/>
      <c r="H17" s="8"/>
      <c r="I17" s="58">
        <f>I8</f>
        <v>46348.088958031265</v>
      </c>
      <c r="J17" s="58">
        <f>J22-J15-J19</f>
        <v>449013.95947535569</v>
      </c>
      <c r="K17" s="58">
        <f t="shared" ref="K17:R17" si="15">K22-K15-K19</f>
        <v>432596.08815359604</v>
      </c>
      <c r="L17" s="58">
        <f t="shared" si="15"/>
        <v>416200.92715315754</v>
      </c>
      <c r="M17" s="58">
        <f t="shared" si="15"/>
        <v>399836.06474167702</v>
      </c>
      <c r="N17" s="58">
        <f t="shared" si="15"/>
        <v>383508.72930554021</v>
      </c>
      <c r="O17" s="58">
        <f t="shared" si="15"/>
        <v>367225.80186292087</v>
      </c>
      <c r="P17" s="58">
        <f t="shared" si="15"/>
        <v>350993.82819222542</v>
      </c>
      <c r="Q17" s="58">
        <f t="shared" si="15"/>
        <v>334819.0305869946</v>
      </c>
      <c r="R17" s="58">
        <f t="shared" si="15"/>
        <v>318707.3192480203</v>
      </c>
    </row>
    <row r="18" spans="1:20" x14ac:dyDescent="0.2">
      <c r="A18" s="14" t="s">
        <v>111</v>
      </c>
      <c r="B18" s="49"/>
      <c r="C18" s="49"/>
      <c r="D18" s="49"/>
      <c r="E18" s="4"/>
      <c r="F18" s="50"/>
      <c r="G18" s="50"/>
      <c r="H18" s="51"/>
      <c r="I18" s="13">
        <f>I9</f>
        <v>169098.49110250713</v>
      </c>
      <c r="J18" s="13">
        <f t="shared" ref="J18:R18" si="16">J9</f>
        <v>165221.66166961991</v>
      </c>
      <c r="K18" s="13">
        <f t="shared" si="16"/>
        <v>161433.714203412</v>
      </c>
      <c r="L18" s="13">
        <f t="shared" si="16"/>
        <v>157732.61095521858</v>
      </c>
      <c r="M18" s="13">
        <f t="shared" si="16"/>
        <v>154116.36089473369</v>
      </c>
      <c r="N18" s="13">
        <f t="shared" si="16"/>
        <v>150583.01863892382</v>
      </c>
      <c r="O18" s="13">
        <f t="shared" si="16"/>
        <v>147130.68340549764</v>
      </c>
      <c r="P18" s="13">
        <f t="shared" si="16"/>
        <v>143757.49799036892</v>
      </c>
      <c r="Q18" s="13">
        <f t="shared" si="16"/>
        <v>140461.64776856275</v>
      </c>
      <c r="R18" s="13">
        <f t="shared" si="16"/>
        <v>137241.35971802715</v>
      </c>
      <c r="T18" s="55" t="s">
        <v>118</v>
      </c>
    </row>
    <row r="19" spans="1:20" ht="17" customHeight="1" x14ac:dyDescent="0.2">
      <c r="A19" s="14" t="s">
        <v>10</v>
      </c>
      <c r="B19" s="4"/>
      <c r="C19" s="4"/>
      <c r="D19" s="4"/>
      <c r="E19" s="4"/>
      <c r="F19" s="7"/>
      <c r="G19" s="7"/>
      <c r="H19" s="8"/>
      <c r="I19" s="54">
        <f>I10</f>
        <v>190000</v>
      </c>
      <c r="J19" s="54">
        <f>I19</f>
        <v>190000</v>
      </c>
      <c r="K19" s="54">
        <f t="shared" ref="K19:R19" si="17">J19</f>
        <v>190000</v>
      </c>
      <c r="L19" s="54">
        <f t="shared" si="17"/>
        <v>190000</v>
      </c>
      <c r="M19" s="54">
        <f t="shared" si="17"/>
        <v>190000</v>
      </c>
      <c r="N19" s="54">
        <f t="shared" si="17"/>
        <v>190000</v>
      </c>
      <c r="O19" s="54">
        <f t="shared" si="17"/>
        <v>190000</v>
      </c>
      <c r="P19" s="54">
        <f t="shared" si="17"/>
        <v>190000</v>
      </c>
      <c r="Q19" s="54">
        <f t="shared" si="17"/>
        <v>190000</v>
      </c>
      <c r="R19" s="54">
        <f t="shared" si="17"/>
        <v>190000</v>
      </c>
      <c r="T19" t="s">
        <v>117</v>
      </c>
    </row>
    <row r="20" spans="1:20" ht="17" customHeight="1" x14ac:dyDescent="0.2">
      <c r="A20" t="s">
        <v>115</v>
      </c>
      <c r="B20" s="49"/>
      <c r="C20" s="49"/>
      <c r="D20" s="49"/>
      <c r="E20" s="49"/>
      <c r="F20" s="50"/>
      <c r="G20" s="50"/>
      <c r="H20" s="51"/>
      <c r="I20" s="11">
        <f>SUM(I15:I19)</f>
        <v>1236348.0889580313</v>
      </c>
      <c r="J20" s="11">
        <f t="shared" ref="J20:R20" si="18">SUM(J15:J19)</f>
        <v>1389013.9594753557</v>
      </c>
      <c r="K20" s="11">
        <f t="shared" si="18"/>
        <v>1372596.088153596</v>
      </c>
      <c r="L20" s="11">
        <f t="shared" si="18"/>
        <v>1356200.9271531575</v>
      </c>
      <c r="M20" s="11">
        <f t="shared" si="18"/>
        <v>1339836.0647416771</v>
      </c>
      <c r="N20" s="11">
        <f t="shared" si="18"/>
        <v>1323508.7293055402</v>
      </c>
      <c r="O20" s="11">
        <f t="shared" si="18"/>
        <v>1307225.8018629209</v>
      </c>
      <c r="P20" s="11">
        <f t="shared" si="18"/>
        <v>1290993.8281922254</v>
      </c>
      <c r="Q20" s="11">
        <f t="shared" si="18"/>
        <v>1274819.0305869945</v>
      </c>
      <c r="R20" s="11">
        <f t="shared" si="18"/>
        <v>1258707.3192480202</v>
      </c>
    </row>
    <row r="21" spans="1:20" ht="17" customHeight="1" x14ac:dyDescent="0.2">
      <c r="A21" t="s">
        <v>116</v>
      </c>
      <c r="B21" s="49"/>
      <c r="C21" s="49"/>
      <c r="D21" s="49"/>
      <c r="E21" s="49">
        <f>E18+E15</f>
        <v>0</v>
      </c>
      <c r="F21" s="50"/>
      <c r="G21" s="50"/>
      <c r="H21" s="51"/>
      <c r="I21" s="54">
        <f>I18+I15</f>
        <v>750000</v>
      </c>
      <c r="J21" s="54">
        <f>I21</f>
        <v>750000</v>
      </c>
      <c r="K21" s="54">
        <f>J21</f>
        <v>750000</v>
      </c>
      <c r="L21" s="54">
        <f t="shared" ref="L21:R21" si="19">L18+L15</f>
        <v>750000</v>
      </c>
      <c r="M21" s="54">
        <f t="shared" si="19"/>
        <v>750000</v>
      </c>
      <c r="N21" s="54">
        <f t="shared" si="19"/>
        <v>750000</v>
      </c>
      <c r="O21" s="54">
        <f t="shared" si="19"/>
        <v>750000</v>
      </c>
      <c r="P21" s="54">
        <f t="shared" si="19"/>
        <v>750000</v>
      </c>
      <c r="Q21" s="54">
        <f t="shared" si="19"/>
        <v>750000</v>
      </c>
      <c r="R21" s="54">
        <f t="shared" si="19"/>
        <v>750000</v>
      </c>
      <c r="S21" t="s">
        <v>31</v>
      </c>
      <c r="T21" t="s">
        <v>117</v>
      </c>
    </row>
    <row r="22" spans="1:20" x14ac:dyDescent="0.2">
      <c r="A22" t="s">
        <v>11</v>
      </c>
      <c r="B22" s="4"/>
      <c r="C22" s="4"/>
      <c r="D22" s="4"/>
      <c r="E22" s="4"/>
      <c r="F22" s="7"/>
      <c r="G22" s="7"/>
      <c r="H22" s="8"/>
      <c r="I22" s="4">
        <f>I13</f>
        <v>1236348.0889580313</v>
      </c>
      <c r="J22" s="4">
        <f t="shared" ref="J22:R22" si="20">J4*J3</f>
        <v>1223792.2978057358</v>
      </c>
      <c r="K22" s="4">
        <f t="shared" si="20"/>
        <v>1211162.3739501841</v>
      </c>
      <c r="L22" s="4">
        <f t="shared" si="20"/>
        <v>1198468.316197939</v>
      </c>
      <c r="M22" s="56">
        <f t="shared" si="20"/>
        <v>1185719.7038469433</v>
      </c>
      <c r="N22" s="56">
        <f t="shared" si="20"/>
        <v>1172925.7106666164</v>
      </c>
      <c r="O22" s="56">
        <f t="shared" si="20"/>
        <v>1160095.1184574233</v>
      </c>
      <c r="P22" s="56">
        <f t="shared" si="20"/>
        <v>1147236.3302018566</v>
      </c>
      <c r="Q22" s="56">
        <f t="shared" si="20"/>
        <v>1134357.3828184318</v>
      </c>
      <c r="R22" s="56">
        <f t="shared" si="20"/>
        <v>1121465.9595299931</v>
      </c>
      <c r="S22" s="13">
        <f>SUM(I22:R22)</f>
        <v>11791571.282433156</v>
      </c>
      <c r="T22" t="s">
        <v>121</v>
      </c>
    </row>
    <row r="23" spans="1:20" s="21" customFormat="1" ht="17" customHeight="1" x14ac:dyDescent="0.2">
      <c r="A23" s="16" t="s">
        <v>15</v>
      </c>
      <c r="B23" s="17"/>
      <c r="C23" s="17"/>
      <c r="D23" s="17"/>
      <c r="E23" s="17"/>
      <c r="F23" s="18"/>
      <c r="G23" s="18"/>
      <c r="H23" s="19"/>
      <c r="I23" s="20"/>
      <c r="J23" s="20"/>
      <c r="K23" s="20"/>
      <c r="L23" s="20"/>
      <c r="M23" s="11"/>
      <c r="N23" s="11"/>
      <c r="O23" s="11"/>
      <c r="P23" s="11"/>
      <c r="Q23" s="11"/>
      <c r="R23" s="11"/>
    </row>
    <row r="24" spans="1:20" ht="18" customHeight="1" x14ac:dyDescent="0.2">
      <c r="A24" t="s">
        <v>7</v>
      </c>
      <c r="B24" s="6"/>
      <c r="C24" s="6"/>
      <c r="D24" s="6"/>
      <c r="E24" s="6"/>
      <c r="F24" s="7"/>
      <c r="G24" s="7"/>
      <c r="H24" s="35">
        <f>H134</f>
        <v>-0.05</v>
      </c>
      <c r="I24" s="9">
        <f>I4</f>
        <v>0.38023006328864567</v>
      </c>
      <c r="J24" s="9">
        <f>I24*(1+$H$24)</f>
        <v>0.36121856012421338</v>
      </c>
      <c r="K24" s="9">
        <f t="shared" ref="K24:R24" si="21">J24*(1+$H$24)</f>
        <v>0.34315763211800271</v>
      </c>
      <c r="L24" s="9">
        <f t="shared" si="21"/>
        <v>0.32599975051210256</v>
      </c>
      <c r="M24" s="9">
        <f t="shared" si="21"/>
        <v>0.30969976298649743</v>
      </c>
      <c r="N24" s="9">
        <f t="shared" si="21"/>
        <v>0.29421477483717257</v>
      </c>
      <c r="O24" s="9">
        <f t="shared" si="21"/>
        <v>0.27950403609531393</v>
      </c>
      <c r="P24" s="9">
        <f t="shared" si="21"/>
        <v>0.26552883429054824</v>
      </c>
      <c r="Q24" s="9">
        <f t="shared" si="21"/>
        <v>0.25225239257602083</v>
      </c>
      <c r="R24" s="9">
        <f t="shared" si="21"/>
        <v>0.23963977294721978</v>
      </c>
    </row>
    <row r="25" spans="1:20" x14ac:dyDescent="0.2">
      <c r="A25" s="10" t="s">
        <v>8</v>
      </c>
      <c r="B25" s="4"/>
      <c r="C25" s="4"/>
      <c r="D25" s="4"/>
      <c r="E25" s="4"/>
      <c r="F25" s="7"/>
      <c r="G25" s="7"/>
      <c r="H25" s="8"/>
      <c r="I25" s="11">
        <f>I6</f>
        <v>580901.50889749289</v>
      </c>
      <c r="J25" s="11">
        <f>750000-J28</f>
        <v>589356.43345261819</v>
      </c>
      <c r="K25" s="11">
        <f t="shared" ref="K25:P25" si="22">750000-K28</f>
        <v>597388.61177998735</v>
      </c>
      <c r="L25" s="11">
        <f t="shared" si="22"/>
        <v>605019.18119098793</v>
      </c>
      <c r="M25" s="11">
        <f t="shared" si="22"/>
        <v>612268.22213143855</v>
      </c>
      <c r="N25" s="11">
        <f t="shared" si="22"/>
        <v>619154.81102486665</v>
      </c>
      <c r="O25" s="11">
        <f t="shared" si="22"/>
        <v>625697.07047362335</v>
      </c>
      <c r="P25" s="11">
        <f t="shared" si="22"/>
        <v>631912.21694994217</v>
      </c>
      <c r="Q25" s="11">
        <f>Q32-Q28-Q29</f>
        <v>603801.00197823741</v>
      </c>
      <c r="R25" s="11">
        <f>R32-R28-R29</f>
        <v>574295.6422295823</v>
      </c>
    </row>
    <row r="26" spans="1:20" x14ac:dyDescent="0.2">
      <c r="A26" s="10" t="s">
        <v>89</v>
      </c>
      <c r="B26" s="4"/>
      <c r="C26" s="4"/>
      <c r="D26" s="4"/>
      <c r="E26" s="4"/>
      <c r="F26" s="7"/>
      <c r="G26" s="7"/>
      <c r="H26" s="8"/>
      <c r="I26" s="54">
        <v>250000</v>
      </c>
      <c r="J26" s="12"/>
      <c r="K26" s="12"/>
      <c r="L26" s="12"/>
      <c r="M26" s="12"/>
      <c r="N26" s="12"/>
      <c r="O26" s="12"/>
      <c r="P26" s="12"/>
      <c r="Q26" s="12"/>
      <c r="R26" s="12"/>
    </row>
    <row r="27" spans="1:20" x14ac:dyDescent="0.2">
      <c r="A27" s="10" t="s">
        <v>9</v>
      </c>
      <c r="B27" s="4"/>
      <c r="C27" s="4"/>
      <c r="D27" s="4"/>
      <c r="E27" s="4"/>
      <c r="F27" s="7"/>
      <c r="G27" s="7"/>
      <c r="H27" s="8"/>
      <c r="I27" s="58">
        <f>I8</f>
        <v>46348.088958031265</v>
      </c>
      <c r="J27" s="58">
        <f>J32-J25-J28-J29</f>
        <v>249882.47331540869</v>
      </c>
      <c r="K27" s="58">
        <f t="shared" ref="K27:P27" si="23">K32-K25-K28-K29</f>
        <v>204972.54901465331</v>
      </c>
      <c r="L27" s="58">
        <f t="shared" si="23"/>
        <v>161578.910960685</v>
      </c>
      <c r="M27" s="58">
        <f t="shared" si="23"/>
        <v>119662.20533957682</v>
      </c>
      <c r="N27" s="58">
        <f t="shared" si="23"/>
        <v>79183.223003177904</v>
      </c>
      <c r="O27" s="58">
        <f t="shared" si="23"/>
        <v>40102.983387069893</v>
      </c>
      <c r="P27" s="58">
        <f t="shared" si="23"/>
        <v>2382.8096750646364</v>
      </c>
      <c r="Q27" s="58"/>
      <c r="R27" s="58"/>
    </row>
    <row r="28" spans="1:20" x14ac:dyDescent="0.2">
      <c r="A28" s="14" t="s">
        <v>111</v>
      </c>
      <c r="B28" s="49"/>
      <c r="C28" s="49"/>
      <c r="D28" s="49"/>
      <c r="E28" s="4"/>
      <c r="F28" s="50"/>
      <c r="G28" s="50"/>
      <c r="H28" s="51"/>
      <c r="I28" s="13">
        <f>I9</f>
        <v>169098.49110250713</v>
      </c>
      <c r="J28" s="11">
        <f>I28*(1+$H$24)</f>
        <v>160643.56654738178</v>
      </c>
      <c r="K28" s="11">
        <f t="shared" ref="K28:R28" si="24">J28*(1+$H$24)</f>
        <v>152611.38822001268</v>
      </c>
      <c r="L28" s="11">
        <f t="shared" si="24"/>
        <v>144980.81880901204</v>
      </c>
      <c r="M28" s="11">
        <f t="shared" si="24"/>
        <v>137731.77786856142</v>
      </c>
      <c r="N28" s="11">
        <f t="shared" si="24"/>
        <v>130845.18897513334</v>
      </c>
      <c r="O28" s="11">
        <f t="shared" si="24"/>
        <v>124302.92952637667</v>
      </c>
      <c r="P28" s="11">
        <f t="shared" si="24"/>
        <v>118087.78305005783</v>
      </c>
      <c r="Q28" s="11">
        <f t="shared" si="24"/>
        <v>112183.39389755492</v>
      </c>
      <c r="R28" s="11">
        <f t="shared" si="24"/>
        <v>106574.22420267717</v>
      </c>
      <c r="T28" s="55" t="s">
        <v>118</v>
      </c>
    </row>
    <row r="29" spans="1:20" x14ac:dyDescent="0.2">
      <c r="A29" s="14" t="s">
        <v>10</v>
      </c>
      <c r="B29" s="4"/>
      <c r="C29" s="4"/>
      <c r="D29" s="4"/>
      <c r="E29" s="4"/>
      <c r="F29" s="7"/>
      <c r="G29" s="7"/>
      <c r="H29" s="8"/>
      <c r="I29" s="54">
        <f>I10</f>
        <v>190000</v>
      </c>
      <c r="J29" s="54">
        <f>I29</f>
        <v>190000</v>
      </c>
      <c r="K29" s="54">
        <f t="shared" ref="K29:R29" si="25">J29</f>
        <v>190000</v>
      </c>
      <c r="L29" s="54">
        <f t="shared" si="25"/>
        <v>190000</v>
      </c>
      <c r="M29" s="54">
        <f t="shared" si="25"/>
        <v>190000</v>
      </c>
      <c r="N29" s="54">
        <f t="shared" si="25"/>
        <v>190000</v>
      </c>
      <c r="O29" s="54">
        <f t="shared" si="25"/>
        <v>190000</v>
      </c>
      <c r="P29" s="54">
        <f t="shared" si="25"/>
        <v>190000</v>
      </c>
      <c r="Q29" s="54">
        <f t="shared" si="25"/>
        <v>190000</v>
      </c>
      <c r="R29" s="54">
        <f t="shared" si="25"/>
        <v>190000</v>
      </c>
      <c r="T29" t="s">
        <v>117</v>
      </c>
    </row>
    <row r="30" spans="1:20" ht="17" customHeight="1" x14ac:dyDescent="0.2">
      <c r="A30" t="s">
        <v>115</v>
      </c>
      <c r="B30" s="49"/>
      <c r="C30" s="49"/>
      <c r="D30" s="49"/>
      <c r="E30" s="49"/>
      <c r="F30" s="50"/>
      <c r="G30" s="50"/>
      <c r="H30" s="51"/>
      <c r="I30" s="11">
        <f>SUM(I25:I29)</f>
        <v>1236348.0889580313</v>
      </c>
      <c r="J30" s="11">
        <f>SUM(J25:J29)</f>
        <v>1189882.4733154087</v>
      </c>
      <c r="K30" s="11">
        <f>SUM(K25:K29)</f>
        <v>1144972.5490146533</v>
      </c>
      <c r="L30" s="11">
        <f t="shared" ref="L30" si="26">SUM(L25:L29)</f>
        <v>1101578.910960685</v>
      </c>
      <c r="M30" s="11">
        <f>SUM(M25:M29)</f>
        <v>1059662.2053395768</v>
      </c>
      <c r="N30" s="11">
        <f t="shared" ref="N30:R30" si="27">SUM(N25:N29)</f>
        <v>1019183.2230031779</v>
      </c>
      <c r="O30" s="11">
        <f t="shared" si="27"/>
        <v>980102.98338706989</v>
      </c>
      <c r="P30" s="11">
        <f t="shared" si="27"/>
        <v>942382.80967506464</v>
      </c>
      <c r="Q30" s="11">
        <f t="shared" si="27"/>
        <v>905984.39587579237</v>
      </c>
      <c r="R30" s="11">
        <f t="shared" si="27"/>
        <v>870869.86643225944</v>
      </c>
    </row>
    <row r="31" spans="1:20" ht="17" customHeight="1" x14ac:dyDescent="0.2">
      <c r="A31" t="s">
        <v>116</v>
      </c>
      <c r="B31" s="49"/>
      <c r="C31" s="49"/>
      <c r="D31" s="49"/>
      <c r="E31" s="49">
        <f>E28+E25</f>
        <v>0</v>
      </c>
      <c r="F31" s="50"/>
      <c r="G31" s="50"/>
      <c r="H31" s="51"/>
      <c r="I31" s="54">
        <f>I28+I25</f>
        <v>750000</v>
      </c>
      <c r="J31" s="54">
        <f>I31</f>
        <v>750000</v>
      </c>
      <c r="K31" s="54">
        <f>J31</f>
        <v>750000</v>
      </c>
      <c r="L31" s="54">
        <f t="shared" ref="L31:R31" si="28">L28+L25</f>
        <v>750000</v>
      </c>
      <c r="M31" s="54">
        <f t="shared" si="28"/>
        <v>750000</v>
      </c>
      <c r="N31" s="54">
        <f t="shared" si="28"/>
        <v>750000</v>
      </c>
      <c r="O31" s="54">
        <f t="shared" si="28"/>
        <v>750000</v>
      </c>
      <c r="P31" s="54">
        <f t="shared" si="28"/>
        <v>750000</v>
      </c>
      <c r="Q31" s="54">
        <f t="shared" si="28"/>
        <v>715984.39587579237</v>
      </c>
      <c r="R31" s="54">
        <f t="shared" si="28"/>
        <v>680869.86643225944</v>
      </c>
      <c r="S31" t="s">
        <v>31</v>
      </c>
      <c r="T31" t="s">
        <v>117</v>
      </c>
    </row>
    <row r="32" spans="1:20" x14ac:dyDescent="0.2">
      <c r="A32" t="s">
        <v>11</v>
      </c>
      <c r="B32" s="4"/>
      <c r="C32" s="4"/>
      <c r="D32" s="4"/>
      <c r="E32" s="4"/>
      <c r="F32" s="7"/>
      <c r="G32" s="7"/>
      <c r="H32" s="8"/>
      <c r="I32" s="4">
        <f>I13</f>
        <v>1236348.0889580313</v>
      </c>
      <c r="J32" s="4">
        <f t="shared" ref="J32:R32" si="29">J24*J3</f>
        <v>1189882.4733154087</v>
      </c>
      <c r="K32" s="4">
        <f t="shared" si="29"/>
        <v>1144972.5490146533</v>
      </c>
      <c r="L32" s="4">
        <f t="shared" si="29"/>
        <v>1101578.910960685</v>
      </c>
      <c r="M32" s="4">
        <f t="shared" si="29"/>
        <v>1059662.2053395768</v>
      </c>
      <c r="N32" s="4">
        <f t="shared" si="29"/>
        <v>1019183.2230031779</v>
      </c>
      <c r="O32" s="4">
        <f t="shared" si="29"/>
        <v>980102.98338706989</v>
      </c>
      <c r="P32" s="4">
        <f t="shared" si="29"/>
        <v>942382.80967506464</v>
      </c>
      <c r="Q32" s="4">
        <f t="shared" si="29"/>
        <v>905984.39587579237</v>
      </c>
      <c r="R32" s="4">
        <f t="shared" si="29"/>
        <v>870869.86643225944</v>
      </c>
      <c r="S32" s="13">
        <f>SUM(I32:R32)</f>
        <v>10450967.50596172</v>
      </c>
    </row>
    <row r="33" spans="1:21" x14ac:dyDescent="0.2">
      <c r="A33" t="s">
        <v>14</v>
      </c>
      <c r="M33" s="46"/>
      <c r="N33" s="46"/>
      <c r="O33" s="46"/>
      <c r="P33" s="46"/>
      <c r="Q33" s="46"/>
      <c r="R33" s="46"/>
      <c r="T33" t="s">
        <v>121</v>
      </c>
    </row>
    <row r="34" spans="1:21" s="21" customFormat="1" ht="17" customHeight="1" x14ac:dyDescent="0.2">
      <c r="A34" s="16" t="s">
        <v>101</v>
      </c>
      <c r="B34" s="17"/>
      <c r="C34" s="17"/>
      <c r="D34" s="17"/>
      <c r="E34" s="17"/>
      <c r="F34" s="18"/>
      <c r="G34" s="18"/>
      <c r="H34" s="19"/>
      <c r="I34" s="20"/>
      <c r="J34" s="20"/>
      <c r="K34" s="20"/>
      <c r="L34" s="20"/>
      <c r="M34" s="11"/>
      <c r="N34" s="11"/>
      <c r="O34" s="11"/>
      <c r="P34" s="11"/>
      <c r="Q34" s="11"/>
      <c r="R34" s="11"/>
    </row>
    <row r="35" spans="1:21" ht="18" customHeight="1" x14ac:dyDescent="0.2">
      <c r="A35" t="s">
        <v>7</v>
      </c>
      <c r="B35" s="6"/>
      <c r="C35" s="6"/>
      <c r="D35" s="6"/>
      <c r="E35" s="6"/>
      <c r="F35" s="7"/>
      <c r="G35" s="7"/>
      <c r="H35" s="35">
        <f>H24</f>
        <v>-0.05</v>
      </c>
      <c r="I35" s="9">
        <f>I24</f>
        <v>0.38023006328864567</v>
      </c>
      <c r="J35" s="9">
        <f>I35*(1+$H$24)</f>
        <v>0.36121856012421338</v>
      </c>
      <c r="K35" s="9">
        <f t="shared" ref="K35:R35" si="30">J35*(1+$H$24)</f>
        <v>0.34315763211800271</v>
      </c>
      <c r="L35" s="9">
        <f t="shared" si="30"/>
        <v>0.32599975051210256</v>
      </c>
      <c r="M35" s="9">
        <f t="shared" si="30"/>
        <v>0.30969976298649743</v>
      </c>
      <c r="N35" s="9">
        <f t="shared" si="30"/>
        <v>0.29421477483717257</v>
      </c>
      <c r="O35" s="9">
        <f t="shared" si="30"/>
        <v>0.27950403609531393</v>
      </c>
      <c r="P35" s="9">
        <f t="shared" si="30"/>
        <v>0.26552883429054824</v>
      </c>
      <c r="Q35" s="9">
        <f t="shared" si="30"/>
        <v>0.25225239257602083</v>
      </c>
      <c r="R35" s="9">
        <f t="shared" si="30"/>
        <v>0.23963977294721978</v>
      </c>
    </row>
    <row r="36" spans="1:21" x14ac:dyDescent="0.2">
      <c r="A36" s="10" t="s">
        <v>8</v>
      </c>
      <c r="B36" s="4"/>
      <c r="C36" s="4"/>
      <c r="D36" s="4"/>
      <c r="E36" s="4"/>
      <c r="F36" s="7"/>
      <c r="G36" s="7"/>
      <c r="H36" s="8"/>
      <c r="I36" s="11">
        <f>I6</f>
        <v>580901.50889749289</v>
      </c>
      <c r="J36" s="11">
        <f>J43-J37-J39-J40</f>
        <v>589238.90676802688</v>
      </c>
      <c r="K36" s="11">
        <f t="shared" ref="K36:R36" si="31">K43-K37-K39-K40</f>
        <v>552361.16079464066</v>
      </c>
      <c r="L36" s="11">
        <f t="shared" si="31"/>
        <v>516598.09215167293</v>
      </c>
      <c r="M36" s="11">
        <f t="shared" si="31"/>
        <v>481930.42747101537</v>
      </c>
      <c r="N36" s="11">
        <f t="shared" si="31"/>
        <v>448338.03402804455</v>
      </c>
      <c r="O36" s="11">
        <f t="shared" si="31"/>
        <v>415800.05386069324</v>
      </c>
      <c r="P36" s="11">
        <f t="shared" si="31"/>
        <v>384295.02662500681</v>
      </c>
      <c r="Q36" s="11">
        <f t="shared" si="31"/>
        <v>353801.00197823741</v>
      </c>
      <c r="R36" s="11">
        <f t="shared" si="31"/>
        <v>324295.6422295823</v>
      </c>
      <c r="S36" t="s">
        <v>88</v>
      </c>
    </row>
    <row r="37" spans="1:21" x14ac:dyDescent="0.2">
      <c r="A37" s="10" t="s">
        <v>89</v>
      </c>
      <c r="B37" s="4"/>
      <c r="C37" s="4"/>
      <c r="D37" s="4"/>
      <c r="E37" s="4"/>
      <c r="F37" s="7"/>
      <c r="G37" s="7"/>
      <c r="H37" s="8"/>
      <c r="I37" s="54">
        <v>250000</v>
      </c>
      <c r="J37" s="54">
        <f>I37</f>
        <v>250000</v>
      </c>
      <c r="K37" s="54">
        <f t="shared" ref="K37:R37" si="32">J37</f>
        <v>250000</v>
      </c>
      <c r="L37" s="54">
        <f t="shared" si="32"/>
        <v>250000</v>
      </c>
      <c r="M37" s="54">
        <f t="shared" si="32"/>
        <v>250000</v>
      </c>
      <c r="N37" s="54">
        <f t="shared" si="32"/>
        <v>250000</v>
      </c>
      <c r="O37" s="54">
        <f t="shared" si="32"/>
        <v>250000</v>
      </c>
      <c r="P37" s="54">
        <f t="shared" si="32"/>
        <v>250000</v>
      </c>
      <c r="Q37" s="54">
        <f t="shared" si="32"/>
        <v>250000</v>
      </c>
      <c r="R37" s="54">
        <f t="shared" si="32"/>
        <v>250000</v>
      </c>
      <c r="S37" t="s">
        <v>31</v>
      </c>
    </row>
    <row r="38" spans="1:21" x14ac:dyDescent="0.2">
      <c r="A38" s="10" t="s">
        <v>9</v>
      </c>
      <c r="B38" s="4"/>
      <c r="C38" s="4"/>
      <c r="D38" s="4"/>
      <c r="E38" s="4"/>
      <c r="F38" s="7"/>
      <c r="G38" s="7"/>
      <c r="H38" s="8"/>
      <c r="I38" s="58">
        <f>I8</f>
        <v>46348.088958031265</v>
      </c>
      <c r="J38" s="58"/>
      <c r="K38" s="58"/>
      <c r="L38" s="58"/>
      <c r="M38" s="58"/>
      <c r="N38" s="58"/>
      <c r="O38" s="58"/>
      <c r="P38" s="58"/>
      <c r="Q38" s="58"/>
      <c r="R38" s="58"/>
    </row>
    <row r="39" spans="1:21" x14ac:dyDescent="0.2">
      <c r="A39" s="14" t="s">
        <v>111</v>
      </c>
      <c r="B39" s="49"/>
      <c r="C39" s="49"/>
      <c r="D39" s="49"/>
      <c r="E39" s="4"/>
      <c r="F39" s="50"/>
      <c r="G39" s="50"/>
      <c r="H39" s="51"/>
      <c r="I39" s="13">
        <f>I9</f>
        <v>169098.49110250713</v>
      </c>
      <c r="J39" s="13">
        <f>J28</f>
        <v>160643.56654738178</v>
      </c>
      <c r="K39" s="13">
        <f t="shared" ref="K39:R39" si="33">K28</f>
        <v>152611.38822001268</v>
      </c>
      <c r="L39" s="13">
        <f t="shared" si="33"/>
        <v>144980.81880901204</v>
      </c>
      <c r="M39" s="13">
        <f t="shared" si="33"/>
        <v>137731.77786856142</v>
      </c>
      <c r="N39" s="13">
        <f t="shared" si="33"/>
        <v>130845.18897513334</v>
      </c>
      <c r="O39" s="13">
        <f t="shared" si="33"/>
        <v>124302.92952637667</v>
      </c>
      <c r="P39" s="13">
        <f t="shared" si="33"/>
        <v>118087.78305005783</v>
      </c>
      <c r="Q39" s="13">
        <f t="shared" si="33"/>
        <v>112183.39389755492</v>
      </c>
      <c r="R39" s="13">
        <f t="shared" si="33"/>
        <v>106574.22420267717</v>
      </c>
      <c r="T39" s="55" t="s">
        <v>118</v>
      </c>
    </row>
    <row r="40" spans="1:21" x14ac:dyDescent="0.2">
      <c r="A40" s="14" t="s">
        <v>10</v>
      </c>
      <c r="B40" s="4"/>
      <c r="C40" s="4"/>
      <c r="D40" s="4"/>
      <c r="E40" s="4"/>
      <c r="F40" s="7"/>
      <c r="G40" s="7"/>
      <c r="H40" s="8"/>
      <c r="I40" s="54">
        <f>I19</f>
        <v>190000</v>
      </c>
      <c r="J40" s="54">
        <f>I40</f>
        <v>190000</v>
      </c>
      <c r="K40" s="54">
        <f t="shared" ref="K40:R40" si="34">J40</f>
        <v>190000</v>
      </c>
      <c r="L40" s="54">
        <f t="shared" si="34"/>
        <v>190000</v>
      </c>
      <c r="M40" s="54">
        <f t="shared" si="34"/>
        <v>190000</v>
      </c>
      <c r="N40" s="54">
        <f t="shared" si="34"/>
        <v>190000</v>
      </c>
      <c r="O40" s="54">
        <f t="shared" si="34"/>
        <v>190000</v>
      </c>
      <c r="P40" s="54">
        <f t="shared" si="34"/>
        <v>190000</v>
      </c>
      <c r="Q40" s="54">
        <f t="shared" si="34"/>
        <v>190000</v>
      </c>
      <c r="R40" s="54">
        <f t="shared" si="34"/>
        <v>190000</v>
      </c>
      <c r="T40" t="s">
        <v>117</v>
      </c>
    </row>
    <row r="41" spans="1:21" ht="17" customHeight="1" x14ac:dyDescent="0.2">
      <c r="A41" t="s">
        <v>115</v>
      </c>
      <c r="B41" s="49"/>
      <c r="C41" s="49"/>
      <c r="D41" s="49"/>
      <c r="E41" s="49"/>
      <c r="F41" s="50"/>
      <c r="G41" s="50"/>
      <c r="H41" s="51"/>
      <c r="I41" s="11">
        <f>SUM(I36:I40)</f>
        <v>1236348.0889580313</v>
      </c>
      <c r="J41" s="11">
        <f t="shared" ref="J41:R41" si="35">SUM(J36:J40)</f>
        <v>1189882.4733154087</v>
      </c>
      <c r="K41" s="11">
        <f t="shared" si="35"/>
        <v>1144972.5490146533</v>
      </c>
      <c r="L41" s="11">
        <f t="shared" si="35"/>
        <v>1101578.910960685</v>
      </c>
      <c r="M41" s="11">
        <f t="shared" si="35"/>
        <v>1059662.2053395768</v>
      </c>
      <c r="N41" s="11">
        <f t="shared" si="35"/>
        <v>1019183.2230031779</v>
      </c>
      <c r="O41" s="11">
        <f t="shared" si="35"/>
        <v>980102.98338706989</v>
      </c>
      <c r="P41" s="11">
        <f t="shared" si="35"/>
        <v>942382.80967506464</v>
      </c>
      <c r="Q41" s="11">
        <f t="shared" si="35"/>
        <v>905984.39587579237</v>
      </c>
      <c r="R41" s="11">
        <f t="shared" si="35"/>
        <v>870869.86643225944</v>
      </c>
    </row>
    <row r="42" spans="1:21" ht="17" customHeight="1" x14ac:dyDescent="0.2">
      <c r="A42" t="s">
        <v>116</v>
      </c>
      <c r="B42" s="49"/>
      <c r="C42" s="49"/>
      <c r="D42" s="49"/>
      <c r="E42" s="49">
        <f>E39+E36</f>
        <v>0</v>
      </c>
      <c r="F42" s="50"/>
      <c r="G42" s="50"/>
      <c r="H42" s="51"/>
      <c r="I42" s="54">
        <f>I39+I36</f>
        <v>750000</v>
      </c>
      <c r="J42" s="54">
        <f>J36+J39</f>
        <v>749882.47331540869</v>
      </c>
      <c r="K42" s="54">
        <f t="shared" ref="K42:R42" si="36">K36+K39</f>
        <v>704972.54901465331</v>
      </c>
      <c r="L42" s="54">
        <f t="shared" si="36"/>
        <v>661578.910960685</v>
      </c>
      <c r="M42" s="54">
        <f t="shared" si="36"/>
        <v>619662.20533957682</v>
      </c>
      <c r="N42" s="54">
        <f t="shared" si="36"/>
        <v>579183.2230031779</v>
      </c>
      <c r="O42" s="54">
        <f t="shared" si="36"/>
        <v>540102.98338706989</v>
      </c>
      <c r="P42" s="54">
        <f t="shared" si="36"/>
        <v>502382.80967506464</v>
      </c>
      <c r="Q42" s="54">
        <f t="shared" si="36"/>
        <v>465984.39587579237</v>
      </c>
      <c r="R42" s="54">
        <f t="shared" si="36"/>
        <v>430869.86643225944</v>
      </c>
      <c r="T42" t="s">
        <v>117</v>
      </c>
      <c r="U42" t="s">
        <v>122</v>
      </c>
    </row>
    <row r="43" spans="1:21" x14ac:dyDescent="0.2">
      <c r="A43" t="s">
        <v>11</v>
      </c>
      <c r="B43" s="4"/>
      <c r="C43" s="4"/>
      <c r="D43" s="4"/>
      <c r="E43" s="4"/>
      <c r="F43" s="7"/>
      <c r="G43" s="7"/>
      <c r="H43" s="8"/>
      <c r="I43" s="4">
        <f>I32</f>
        <v>1236348.0889580313</v>
      </c>
      <c r="J43" s="4">
        <f t="shared" ref="J43:R43" si="37">J32</f>
        <v>1189882.4733154087</v>
      </c>
      <c r="K43" s="4">
        <f t="shared" si="37"/>
        <v>1144972.5490146533</v>
      </c>
      <c r="L43" s="4">
        <f t="shared" si="37"/>
        <v>1101578.910960685</v>
      </c>
      <c r="M43" s="4">
        <f t="shared" si="37"/>
        <v>1059662.2053395768</v>
      </c>
      <c r="N43" s="4">
        <f t="shared" si="37"/>
        <v>1019183.2230031779</v>
      </c>
      <c r="O43" s="4">
        <f t="shared" si="37"/>
        <v>980102.98338706989</v>
      </c>
      <c r="P43" s="4">
        <f t="shared" si="37"/>
        <v>942382.80967506464</v>
      </c>
      <c r="Q43" s="4">
        <f t="shared" si="37"/>
        <v>905984.39587579237</v>
      </c>
      <c r="R43" s="4">
        <f t="shared" si="37"/>
        <v>870869.86643225944</v>
      </c>
      <c r="S43" s="13">
        <f>SUM(I43:R43)</f>
        <v>10450967.50596172</v>
      </c>
    </row>
    <row r="44" spans="1:21" x14ac:dyDescent="0.2">
      <c r="A44" t="s">
        <v>14</v>
      </c>
      <c r="M44" s="11"/>
      <c r="N44" s="11"/>
      <c r="O44" s="11"/>
      <c r="P44" s="11"/>
      <c r="Q44" s="11"/>
      <c r="R44" s="11"/>
      <c r="T44" t="s">
        <v>120</v>
      </c>
    </row>
    <row r="46" spans="1:21" s="21" customFormat="1" ht="17" customHeight="1" x14ac:dyDescent="0.2">
      <c r="A46" s="16" t="s">
        <v>16</v>
      </c>
      <c r="B46" s="17"/>
      <c r="C46" s="17"/>
      <c r="D46" s="17"/>
      <c r="E46" s="17"/>
      <c r="F46" s="18"/>
      <c r="G46" s="18"/>
      <c r="H46" s="19"/>
      <c r="I46" s="20"/>
      <c r="J46" s="20"/>
      <c r="K46" s="20"/>
      <c r="L46" s="20"/>
      <c r="M46" s="20"/>
      <c r="N46" s="20"/>
      <c r="O46" s="20"/>
      <c r="P46" s="20"/>
      <c r="Q46" s="20"/>
      <c r="R46" s="20"/>
    </row>
    <row r="47" spans="1:21" ht="17" customHeight="1" x14ac:dyDescent="0.2">
      <c r="A47" s="22" t="s">
        <v>17</v>
      </c>
      <c r="B47" s="22"/>
      <c r="C47" s="22"/>
      <c r="D47" s="23"/>
      <c r="E47" s="23"/>
      <c r="F47" s="23"/>
      <c r="G47" s="23"/>
      <c r="H47" s="23" t="s">
        <v>18</v>
      </c>
      <c r="I47" s="60"/>
      <c r="J47" s="23"/>
      <c r="K47" s="23"/>
      <c r="L47" s="23"/>
      <c r="M47" s="23"/>
      <c r="N47" s="23"/>
      <c r="O47" s="23"/>
      <c r="P47" s="23"/>
      <c r="Q47" s="23"/>
      <c r="R47" s="23"/>
      <c r="S47" s="23"/>
    </row>
    <row r="48" spans="1:21" x14ac:dyDescent="0.2">
      <c r="A48" s="23" t="s">
        <v>19</v>
      </c>
      <c r="B48" s="23"/>
      <c r="C48" s="23"/>
      <c r="D48" s="23"/>
      <c r="E48" s="23"/>
      <c r="F48" s="23"/>
      <c r="G48" s="23"/>
      <c r="H48" s="30">
        <f>'Disposal costs'!F2</f>
        <v>64</v>
      </c>
      <c r="I48" s="24">
        <f t="shared" ref="I48:R48" si="38">I6*($H$48*(1+0.02*(I2-2024)))</f>
        <v>39408358.363605917</v>
      </c>
      <c r="J48" s="24">
        <f t="shared" si="38"/>
        <v>40419878.745395876</v>
      </c>
      <c r="K48" s="24">
        <f t="shared" si="38"/>
        <v>41435066.520079799</v>
      </c>
      <c r="L48" s="24">
        <f t="shared" si="38"/>
        <v>42453726.446729936</v>
      </c>
      <c r="M48" s="24">
        <f t="shared" si="38"/>
        <v>43163379.901793219</v>
      </c>
      <c r="N48" s="24">
        <f t="shared" si="38"/>
        <v>43233121.456135899</v>
      </c>
      <c r="O48" s="24">
        <f t="shared" si="38"/>
        <v>43270274.135121427</v>
      </c>
      <c r="P48" s="24">
        <f t="shared" si="38"/>
        <v>43275174.313842252</v>
      </c>
      <c r="Q48" s="24">
        <f t="shared" si="38"/>
        <v>43248178.992693774</v>
      </c>
      <c r="R48" s="24">
        <f t="shared" si="38"/>
        <v>43189664.241077617</v>
      </c>
      <c r="S48" s="23"/>
    </row>
    <row r="49" spans="1:19" x14ac:dyDescent="0.2">
      <c r="A49" s="23" t="s">
        <v>74</v>
      </c>
      <c r="B49" s="23"/>
      <c r="C49" s="23"/>
      <c r="D49" s="23"/>
      <c r="E49" s="23"/>
      <c r="F49" s="23"/>
      <c r="G49" s="23"/>
      <c r="H49" s="30">
        <v>196</v>
      </c>
      <c r="I49" s="24">
        <f>I7*($H$49*(1+0.05*(I2-2024)))</f>
        <v>56349999.999999993</v>
      </c>
      <c r="J49" s="24">
        <f>J7*($H$49*(1+0.05*(J2-2024)))</f>
        <v>58800000</v>
      </c>
      <c r="K49" s="24">
        <f t="shared" ref="K49:R49" si="39">K7*($H$49*(1+0.05*(K2-2024)))</f>
        <v>61250000</v>
      </c>
      <c r="L49" s="24">
        <f t="shared" si="39"/>
        <v>63700000</v>
      </c>
      <c r="M49" s="24">
        <f t="shared" si="39"/>
        <v>66150000.000000007</v>
      </c>
      <c r="N49" s="24">
        <f t="shared" si="39"/>
        <v>68600000</v>
      </c>
      <c r="O49" s="24">
        <f t="shared" si="39"/>
        <v>71050000</v>
      </c>
      <c r="P49" s="24">
        <f t="shared" si="39"/>
        <v>73500000</v>
      </c>
      <c r="Q49" s="24">
        <f t="shared" si="39"/>
        <v>75950000</v>
      </c>
      <c r="R49" s="24">
        <f t="shared" si="39"/>
        <v>78400000</v>
      </c>
      <c r="S49" s="23"/>
    </row>
    <row r="50" spans="1:19" x14ac:dyDescent="0.2">
      <c r="A50" s="23" t="s">
        <v>20</v>
      </c>
      <c r="B50" s="23"/>
      <c r="C50" s="23"/>
      <c r="D50" s="23"/>
      <c r="E50" s="23"/>
      <c r="F50" s="23"/>
      <c r="G50" s="23"/>
      <c r="H50" s="30">
        <f>'Disposal costs'!F4</f>
        <v>171</v>
      </c>
      <c r="I50" s="24">
        <f>I8*($H$50*(1+0.02*(I2-2024)))</f>
        <v>8401054.6045327485</v>
      </c>
      <c r="J50" s="24">
        <f>J8*($H$50*(1+0.02*(J2-2024)))</f>
        <v>6240761.5587632954</v>
      </c>
      <c r="K50" s="24">
        <f>K8*($H$50*(1+0.02*(K2-2024)))</f>
        <v>3980642.5400296277</v>
      </c>
      <c r="L50" s="24">
        <f>L8*($H$50*(1+0.05*(L2-2024)))</f>
        <v>1882506.6908018363</v>
      </c>
      <c r="M50" s="24">
        <f t="shared" ref="M50:R50" si="40">M8*($H$50*(1+0.02*(M2-2024)))</f>
        <v>0</v>
      </c>
      <c r="N50" s="24">
        <f t="shared" si="40"/>
        <v>0</v>
      </c>
      <c r="O50" s="24">
        <f t="shared" si="40"/>
        <v>0</v>
      </c>
      <c r="P50" s="24">
        <f t="shared" si="40"/>
        <v>0</v>
      </c>
      <c r="Q50" s="24">
        <f t="shared" si="40"/>
        <v>0</v>
      </c>
      <c r="R50" s="24">
        <f t="shared" si="40"/>
        <v>0</v>
      </c>
      <c r="S50" s="23"/>
    </row>
    <row r="51" spans="1:19" x14ac:dyDescent="0.2">
      <c r="A51" s="22" t="s">
        <v>21</v>
      </c>
      <c r="B51" s="22"/>
      <c r="C51" s="22"/>
      <c r="D51" s="22"/>
      <c r="E51" s="22"/>
      <c r="F51" s="22"/>
      <c r="G51" s="22"/>
      <c r="H51" s="22"/>
      <c r="I51" s="26">
        <f>SUM(I48:I50)</f>
        <v>104159412.96813866</v>
      </c>
      <c r="J51" s="26">
        <f t="shared" ref="J51:R51" si="41">SUM(J48:J50)</f>
        <v>105460640.30415916</v>
      </c>
      <c r="K51" s="26">
        <f t="shared" si="41"/>
        <v>106665709.06010942</v>
      </c>
      <c r="L51" s="26">
        <f t="shared" si="41"/>
        <v>108036233.13753176</v>
      </c>
      <c r="M51" s="26">
        <f t="shared" si="41"/>
        <v>109313379.90179323</v>
      </c>
      <c r="N51" s="26">
        <f t="shared" si="41"/>
        <v>111833121.4561359</v>
      </c>
      <c r="O51" s="26">
        <f t="shared" si="41"/>
        <v>114320274.13512143</v>
      </c>
      <c r="P51" s="26">
        <f t="shared" si="41"/>
        <v>116775174.31384225</v>
      </c>
      <c r="Q51" s="26">
        <f t="shared" si="41"/>
        <v>119198178.99269378</v>
      </c>
      <c r="R51" s="26">
        <f t="shared" si="41"/>
        <v>121589664.24107762</v>
      </c>
      <c r="S51" s="23"/>
    </row>
    <row r="52" spans="1:19" x14ac:dyDescent="0.2">
      <c r="A52" s="22" t="s">
        <v>25</v>
      </c>
      <c r="J52" s="23"/>
      <c r="K52" s="23"/>
      <c r="L52" s="23"/>
      <c r="M52" s="23"/>
      <c r="N52" s="23"/>
      <c r="O52" s="23"/>
      <c r="P52" s="23"/>
      <c r="Q52" s="23"/>
      <c r="S52" s="26">
        <f>SUM(I51:R51)</f>
        <v>1117351788.5106032</v>
      </c>
    </row>
    <row r="53" spans="1:19" x14ac:dyDescent="0.2">
      <c r="A53" s="23" t="s">
        <v>81</v>
      </c>
      <c r="B53" s="23"/>
      <c r="C53" s="23"/>
      <c r="D53" s="23"/>
      <c r="E53" s="23"/>
      <c r="F53" s="33">
        <v>220000000</v>
      </c>
      <c r="G53" s="33"/>
      <c r="H53" s="23"/>
      <c r="I53" s="27">
        <f>F53/20</f>
        <v>11000000</v>
      </c>
      <c r="J53" s="27">
        <f>I53</f>
        <v>11000000</v>
      </c>
      <c r="K53" s="27">
        <f t="shared" ref="K53:R53" si="42">J53</f>
        <v>11000000</v>
      </c>
      <c r="L53" s="27">
        <f t="shared" si="42"/>
        <v>11000000</v>
      </c>
      <c r="M53" s="27">
        <f t="shared" si="42"/>
        <v>11000000</v>
      </c>
      <c r="N53" s="27">
        <f t="shared" si="42"/>
        <v>11000000</v>
      </c>
      <c r="O53" s="27">
        <f t="shared" si="42"/>
        <v>11000000</v>
      </c>
      <c r="P53" s="27">
        <f t="shared" si="42"/>
        <v>11000000</v>
      </c>
      <c r="Q53" s="27">
        <f t="shared" si="42"/>
        <v>11000000</v>
      </c>
      <c r="R53" s="27">
        <f t="shared" si="42"/>
        <v>11000000</v>
      </c>
      <c r="S53" s="23" t="s">
        <v>127</v>
      </c>
    </row>
    <row r="54" spans="1:19" x14ac:dyDescent="0.2">
      <c r="A54" s="22" t="s">
        <v>24</v>
      </c>
      <c r="B54" s="23"/>
      <c r="C54" s="23"/>
      <c r="D54" s="23"/>
      <c r="E54" s="23"/>
      <c r="F54" s="23"/>
      <c r="G54" s="23"/>
      <c r="H54" s="23"/>
      <c r="I54" s="28">
        <f>SUM(I53+I51)</f>
        <v>115159412.96813866</v>
      </c>
      <c r="J54" s="28">
        <f t="shared" ref="J54:R54" si="43">SUM(J53+J51)</f>
        <v>116460640.30415916</v>
      </c>
      <c r="K54" s="28">
        <f t="shared" si="43"/>
        <v>117665709.06010942</v>
      </c>
      <c r="L54" s="28">
        <f t="shared" si="43"/>
        <v>119036233.13753176</v>
      </c>
      <c r="M54" s="28">
        <f t="shared" si="43"/>
        <v>120313379.90179323</v>
      </c>
      <c r="N54" s="28">
        <f t="shared" si="43"/>
        <v>122833121.4561359</v>
      </c>
      <c r="O54" s="28">
        <f t="shared" si="43"/>
        <v>125320274.13512143</v>
      </c>
      <c r="P54" s="28">
        <f t="shared" si="43"/>
        <v>127775174.31384225</v>
      </c>
      <c r="Q54" s="28">
        <f t="shared" si="43"/>
        <v>130198178.99269378</v>
      </c>
      <c r="R54" s="28">
        <f t="shared" si="43"/>
        <v>132589664.24107762</v>
      </c>
    </row>
    <row r="55" spans="1:19" x14ac:dyDescent="0.2">
      <c r="A55" s="15" t="s">
        <v>26</v>
      </c>
      <c r="S55" s="26">
        <f>SUM(I54:R54)</f>
        <v>1227351788.5106032</v>
      </c>
    </row>
    <row r="56" spans="1:19" x14ac:dyDescent="0.2">
      <c r="A56" s="22" t="s">
        <v>27</v>
      </c>
      <c r="B56" s="22"/>
      <c r="C56" s="22"/>
      <c r="D56" s="23"/>
      <c r="E56" s="23"/>
      <c r="F56" s="23"/>
      <c r="G56" s="23"/>
      <c r="H56" s="23" t="s">
        <v>28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</row>
    <row r="57" spans="1:19" x14ac:dyDescent="0.2">
      <c r="A57" s="23" t="s">
        <v>19</v>
      </c>
      <c r="B57" s="23"/>
      <c r="C57" s="23"/>
      <c r="D57" s="23"/>
      <c r="E57" s="23"/>
      <c r="F57" s="23"/>
      <c r="G57" s="23"/>
      <c r="H57" s="24">
        <f>'Disposal costs'!F12</f>
        <v>47.643125769627581</v>
      </c>
      <c r="I57" s="24">
        <f>I6*($H$57*(1+0.02*(I2-2022)))</f>
        <v>30443560.01298666</v>
      </c>
      <c r="J57" s="24">
        <f t="shared" ref="J57:R57" si="44">J6*$H$57*(1+0.02*(I2-2022))</f>
        <v>30646734.712470945</v>
      </c>
      <c r="K57" s="24">
        <f t="shared" si="44"/>
        <v>31406074.087325752</v>
      </c>
      <c r="L57" s="24">
        <f t="shared" si="44"/>
        <v>32167915.464280803</v>
      </c>
      <c r="M57" s="24">
        <f t="shared" si="44"/>
        <v>32695565.669844918</v>
      </c>
      <c r="N57" s="24">
        <f t="shared" si="44"/>
        <v>32738658.818412658</v>
      </c>
      <c r="O57" s="24">
        <f t="shared" si="44"/>
        <v>32757379.968843009</v>
      </c>
      <c r="P57" s="24">
        <f t="shared" si="44"/>
        <v>32751989.303321239</v>
      </c>
      <c r="Q57" s="24">
        <f t="shared" si="44"/>
        <v>32722761.968619119</v>
      </c>
      <c r="R57" s="24">
        <f t="shared" si="44"/>
        <v>32669986.930266082</v>
      </c>
      <c r="S57" s="23" t="s">
        <v>123</v>
      </c>
    </row>
    <row r="58" spans="1:19" x14ac:dyDescent="0.2">
      <c r="A58" s="23" t="s">
        <v>74</v>
      </c>
      <c r="B58" s="23"/>
      <c r="C58" s="23"/>
      <c r="D58" s="23"/>
      <c r="E58" s="23"/>
      <c r="F58" s="23"/>
      <c r="G58" s="23"/>
      <c r="H58" s="24">
        <f>'Disposal costs'!F13</f>
        <v>78.280771161677052</v>
      </c>
      <c r="I58" s="24">
        <f>I7*($H$58*(1+0.05*(I2-2022)))</f>
        <v>24462740.988024082</v>
      </c>
      <c r="J58" s="24">
        <f t="shared" ref="J58:R58" si="45">J7*($H$58*(1+0.05*(J2-2022)))</f>
        <v>25441250.62754504</v>
      </c>
      <c r="K58" s="24">
        <f t="shared" si="45"/>
        <v>26419760.267066006</v>
      </c>
      <c r="L58" s="24">
        <f t="shared" si="45"/>
        <v>27398269.906586967</v>
      </c>
      <c r="M58" s="24">
        <f t="shared" si="45"/>
        <v>28376779.546107929</v>
      </c>
      <c r="N58" s="24">
        <f t="shared" si="45"/>
        <v>29355289.185628895</v>
      </c>
      <c r="O58" s="24">
        <f t="shared" si="45"/>
        <v>30333798.82514986</v>
      </c>
      <c r="P58" s="24">
        <f t="shared" si="45"/>
        <v>31312308.464670822</v>
      </c>
      <c r="Q58" s="24">
        <f t="shared" si="45"/>
        <v>32290818.104191784</v>
      </c>
      <c r="R58" s="24">
        <f t="shared" si="45"/>
        <v>33269327.743712749</v>
      </c>
      <c r="S58" s="23"/>
    </row>
    <row r="59" spans="1:19" x14ac:dyDescent="0.2">
      <c r="A59" s="23" t="s">
        <v>20</v>
      </c>
      <c r="B59" s="23"/>
      <c r="C59" s="23"/>
      <c r="D59" s="23"/>
      <c r="E59" s="23"/>
      <c r="F59" s="23"/>
      <c r="G59" s="23"/>
      <c r="H59" s="24">
        <f>'Disposal costs'!F14</f>
        <v>117.41999999999999</v>
      </c>
      <c r="I59" s="24">
        <f t="shared" ref="I59:R59" si="46">I8*($H$59*(1+0.02*(I2-2022)))</f>
        <v>5986411.8659972344</v>
      </c>
      <c r="J59" s="24">
        <f t="shared" si="46"/>
        <v>4444038.6013514427</v>
      </c>
      <c r="K59" s="24">
        <f t="shared" si="46"/>
        <v>2832769.9821229023</v>
      </c>
      <c r="L59" s="24">
        <f t="shared" si="46"/>
        <v>1153445.6380359146</v>
      </c>
      <c r="M59" s="24">
        <f t="shared" si="46"/>
        <v>0</v>
      </c>
      <c r="N59" s="24">
        <f t="shared" si="46"/>
        <v>0</v>
      </c>
      <c r="O59" s="24">
        <f t="shared" si="46"/>
        <v>0</v>
      </c>
      <c r="P59" s="24">
        <f t="shared" si="46"/>
        <v>0</v>
      </c>
      <c r="Q59" s="24">
        <f t="shared" si="46"/>
        <v>0</v>
      </c>
      <c r="R59" s="24">
        <f t="shared" si="46"/>
        <v>0</v>
      </c>
      <c r="S59" s="23"/>
    </row>
    <row r="60" spans="1:19" x14ac:dyDescent="0.2">
      <c r="A60" s="22" t="s">
        <v>21</v>
      </c>
      <c r="B60" s="22"/>
      <c r="C60" s="22"/>
      <c r="D60" s="22"/>
      <c r="E60" s="22"/>
      <c r="F60" s="22"/>
      <c r="G60" s="22"/>
      <c r="H60" s="22"/>
      <c r="I60" s="26">
        <f>SUM(I57:I59)</f>
        <v>60892712.867007978</v>
      </c>
      <c r="J60" s="26">
        <f t="shared" ref="J60:R60" si="47">SUM(J57:J59)</f>
        <v>60532023.941367425</v>
      </c>
      <c r="K60" s="26">
        <f t="shared" si="47"/>
        <v>60658604.336514659</v>
      </c>
      <c r="L60" s="26">
        <f t="shared" si="47"/>
        <v>60719631.00890369</v>
      </c>
      <c r="M60" s="26">
        <f t="shared" si="47"/>
        <v>61072345.215952843</v>
      </c>
      <c r="N60" s="26">
        <f t="shared" si="47"/>
        <v>62093948.004041553</v>
      </c>
      <c r="O60" s="26">
        <f t="shared" si="47"/>
        <v>63091178.79399287</v>
      </c>
      <c r="P60" s="26">
        <f t="shared" si="47"/>
        <v>64064297.767992064</v>
      </c>
      <c r="Q60" s="26">
        <f t="shared" si="47"/>
        <v>65013580.072810903</v>
      </c>
      <c r="R60" s="26">
        <f t="shared" si="47"/>
        <v>65939314.673978835</v>
      </c>
      <c r="S60" s="23"/>
    </row>
    <row r="61" spans="1:19" x14ac:dyDescent="0.2">
      <c r="A61" s="22" t="s">
        <v>80</v>
      </c>
      <c r="J61" s="23"/>
      <c r="K61" s="23"/>
      <c r="L61" s="23"/>
      <c r="M61" s="23"/>
      <c r="N61" s="23"/>
      <c r="O61" s="23"/>
      <c r="P61" s="23"/>
      <c r="Q61" s="23"/>
      <c r="S61" s="26">
        <f>SUM(I60:R60)</f>
        <v>624077636.68256283</v>
      </c>
    </row>
    <row r="62" spans="1:19" x14ac:dyDescent="0.2">
      <c r="A62" s="23" t="s">
        <v>81</v>
      </c>
      <c r="B62" s="23"/>
      <c r="C62" s="23"/>
      <c r="D62" s="23"/>
      <c r="E62" s="23"/>
      <c r="F62" s="27">
        <f>F53</f>
        <v>220000000</v>
      </c>
      <c r="G62" s="27"/>
      <c r="H62" s="23"/>
      <c r="I62" s="27">
        <f>F62/20</f>
        <v>11000000</v>
      </c>
      <c r="J62" s="27">
        <f>I62</f>
        <v>11000000</v>
      </c>
      <c r="K62" s="27">
        <f t="shared" ref="K62:R62" si="48">J62</f>
        <v>11000000</v>
      </c>
      <c r="L62" s="27">
        <f t="shared" si="48"/>
        <v>11000000</v>
      </c>
      <c r="M62" s="27">
        <f t="shared" si="48"/>
        <v>11000000</v>
      </c>
      <c r="N62" s="27">
        <f t="shared" si="48"/>
        <v>11000000</v>
      </c>
      <c r="O62" s="27">
        <f t="shared" si="48"/>
        <v>11000000</v>
      </c>
      <c r="P62" s="27">
        <f t="shared" si="48"/>
        <v>11000000</v>
      </c>
      <c r="Q62" s="27">
        <f t="shared" si="48"/>
        <v>11000000</v>
      </c>
      <c r="R62" s="27">
        <f t="shared" si="48"/>
        <v>11000000</v>
      </c>
      <c r="S62" s="23"/>
    </row>
    <row r="63" spans="1:19" x14ac:dyDescent="0.2">
      <c r="A63" s="22" t="s">
        <v>24</v>
      </c>
      <c r="B63" s="23"/>
      <c r="C63" s="23"/>
      <c r="D63" s="23"/>
      <c r="E63" s="23"/>
      <c r="F63" s="23"/>
      <c r="G63" s="23"/>
      <c r="H63" s="23"/>
      <c r="I63" s="28">
        <f>SUM(I62+I60)</f>
        <v>71892712.867007971</v>
      </c>
      <c r="J63" s="28">
        <f t="shared" ref="J63:R63" si="49">SUM(J62+J60)</f>
        <v>71532023.941367418</v>
      </c>
      <c r="K63" s="28">
        <f t="shared" si="49"/>
        <v>71658604.336514652</v>
      </c>
      <c r="L63" s="28">
        <f t="shared" si="49"/>
        <v>71719631.008903682</v>
      </c>
      <c r="M63" s="28">
        <f t="shared" si="49"/>
        <v>72072345.215952843</v>
      </c>
      <c r="N63" s="28">
        <f t="shared" si="49"/>
        <v>73093948.004041553</v>
      </c>
      <c r="O63" s="28">
        <f t="shared" si="49"/>
        <v>74091178.793992877</v>
      </c>
      <c r="P63" s="28">
        <f t="shared" si="49"/>
        <v>75064297.767992064</v>
      </c>
      <c r="Q63" s="28">
        <f t="shared" si="49"/>
        <v>76013580.072810903</v>
      </c>
      <c r="R63" s="28">
        <f t="shared" si="49"/>
        <v>76939314.673978835</v>
      </c>
    </row>
    <row r="64" spans="1:19" x14ac:dyDescent="0.2">
      <c r="A64" s="15" t="s">
        <v>26</v>
      </c>
      <c r="I64" s="25"/>
      <c r="S64" s="26">
        <f>SUM(I63:R63)</f>
        <v>734077636.68256271</v>
      </c>
    </row>
    <row r="66" spans="1:19" s="21" customFormat="1" x14ac:dyDescent="0.2">
      <c r="A66" s="16" t="s">
        <v>32</v>
      </c>
    </row>
    <row r="67" spans="1:19" x14ac:dyDescent="0.2">
      <c r="A67" s="22" t="s">
        <v>30</v>
      </c>
      <c r="B67" s="22"/>
      <c r="C67" s="22"/>
      <c r="D67" s="23"/>
      <c r="E67" s="23"/>
      <c r="F67" s="23"/>
      <c r="G67" s="23"/>
      <c r="H67" s="23" t="s">
        <v>18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</row>
    <row r="68" spans="1:19" x14ac:dyDescent="0.2">
      <c r="A68" s="23" t="s">
        <v>19</v>
      </c>
      <c r="B68" s="23"/>
      <c r="C68" s="23"/>
      <c r="D68" s="23"/>
      <c r="E68" s="23"/>
      <c r="F68" s="23"/>
      <c r="G68" s="23"/>
      <c r="H68" s="24">
        <f>H48</f>
        <v>64</v>
      </c>
      <c r="I68" s="24">
        <f t="shared" ref="I68:R68" si="50">I15*($H$68*(1+0.02*(I2-2024)))</f>
        <v>39408358.363605917</v>
      </c>
      <c r="J68" s="24">
        <f t="shared" si="50"/>
        <v>40419878.745395876</v>
      </c>
      <c r="K68" s="24">
        <f t="shared" si="50"/>
        <v>41435066.520079799</v>
      </c>
      <c r="L68" s="24">
        <f t="shared" si="50"/>
        <v>42453726.446729936</v>
      </c>
      <c r="M68" s="24">
        <f t="shared" si="50"/>
        <v>43475670.309120238</v>
      </c>
      <c r="N68" s="24">
        <f t="shared" si="50"/>
        <v>44500716.696246296</v>
      </c>
      <c r="O68" s="24">
        <f t="shared" si="50"/>
        <v>45528690.789216824</v>
      </c>
      <c r="P68" s="24">
        <f t="shared" si="50"/>
        <v>46559424.154339671</v>
      </c>
      <c r="Q68" s="24">
        <f t="shared" si="50"/>
        <v>47592754.542230621</v>
      </c>
      <c r="R68" s="24">
        <f t="shared" si="50"/>
        <v>48628525.692777365</v>
      </c>
      <c r="S68" s="23"/>
    </row>
    <row r="69" spans="1:19" x14ac:dyDescent="0.2">
      <c r="A69" s="23" t="s">
        <v>74</v>
      </c>
      <c r="B69" s="23"/>
      <c r="C69" s="23"/>
      <c r="D69" s="23"/>
      <c r="E69" s="23"/>
      <c r="F69" s="23"/>
      <c r="G69" s="23"/>
      <c r="H69" s="24">
        <f>H49</f>
        <v>196</v>
      </c>
      <c r="I69" s="24">
        <f>I16*($H$69*(1+0.052*(I2-2024)))</f>
        <v>56644000</v>
      </c>
      <c r="J69" s="24">
        <f t="shared" ref="J69:R69" si="51">J16*($H$69*(1+0.02*(J2-2024)))</f>
        <v>0</v>
      </c>
      <c r="K69" s="24">
        <f t="shared" si="51"/>
        <v>0</v>
      </c>
      <c r="L69" s="24">
        <f t="shared" si="51"/>
        <v>0</v>
      </c>
      <c r="M69" s="24">
        <f t="shared" si="51"/>
        <v>0</v>
      </c>
      <c r="N69" s="24">
        <f t="shared" si="51"/>
        <v>0</v>
      </c>
      <c r="O69" s="24">
        <f t="shared" si="51"/>
        <v>0</v>
      </c>
      <c r="P69" s="24">
        <f t="shared" si="51"/>
        <v>0</v>
      </c>
      <c r="Q69" s="24">
        <f t="shared" si="51"/>
        <v>0</v>
      </c>
      <c r="R69" s="24">
        <f t="shared" si="51"/>
        <v>0</v>
      </c>
      <c r="S69" s="23"/>
    </row>
    <row r="70" spans="1:19" x14ac:dyDescent="0.2">
      <c r="A70" s="23" t="s">
        <v>20</v>
      </c>
      <c r="B70" s="23"/>
      <c r="C70" s="23"/>
      <c r="D70" s="23"/>
      <c r="E70" s="23"/>
      <c r="F70" s="23"/>
      <c r="G70" s="23"/>
      <c r="H70" s="24">
        <f>H50</f>
        <v>171</v>
      </c>
      <c r="I70" s="24">
        <f t="shared" ref="I70:R70" si="52">I17*($H$70*(1+0.02*(I2-2024)))</f>
        <v>8401054.6045327485</v>
      </c>
      <c r="J70" s="24">
        <f t="shared" si="52"/>
        <v>82923898.035908699</v>
      </c>
      <c r="K70" s="24">
        <f t="shared" si="52"/>
        <v>81371324.181691423</v>
      </c>
      <c r="L70" s="24">
        <f t="shared" si="52"/>
        <v>79710801.568372741</v>
      </c>
      <c r="M70" s="24">
        <f t="shared" si="52"/>
        <v>77944042.460742533</v>
      </c>
      <c r="N70" s="24">
        <f t="shared" si="52"/>
        <v>76072791.545046955</v>
      </c>
      <c r="O70" s="24">
        <f t="shared" si="52"/>
        <v>74098822.299900174</v>
      </c>
      <c r="P70" s="24">
        <f t="shared" si="52"/>
        <v>72023933.545044661</v>
      </c>
      <c r="Q70" s="24">
        <f t="shared" si="52"/>
        <v>69849946.161058813</v>
      </c>
      <c r="R70" s="24">
        <f t="shared" si="52"/>
        <v>67578699.973350227</v>
      </c>
      <c r="S70" s="23"/>
    </row>
    <row r="71" spans="1:19" x14ac:dyDescent="0.2">
      <c r="A71" s="22" t="s">
        <v>21</v>
      </c>
      <c r="B71" s="22"/>
      <c r="C71" s="22"/>
      <c r="D71" s="22"/>
      <c r="E71" s="22"/>
      <c r="F71" s="22"/>
      <c r="G71" s="22"/>
      <c r="H71" s="22"/>
      <c r="I71" s="26">
        <f>SUM(I68:I70)</f>
        <v>104453412.96813866</v>
      </c>
      <c r="J71" s="26">
        <f t="shared" ref="J71:R71" si="53">SUM(J68:J70)</f>
        <v>123343776.78130457</v>
      </c>
      <c r="K71" s="26">
        <f t="shared" si="53"/>
        <v>122806390.70177123</v>
      </c>
      <c r="L71" s="26">
        <f t="shared" si="53"/>
        <v>122164528.01510268</v>
      </c>
      <c r="M71" s="26">
        <f t="shared" si="53"/>
        <v>121419712.76986277</v>
      </c>
      <c r="N71" s="26">
        <f t="shared" si="53"/>
        <v>120573508.24129325</v>
      </c>
      <c r="O71" s="26">
        <f t="shared" si="53"/>
        <v>119627513.08911699</v>
      </c>
      <c r="P71" s="26">
        <f t="shared" si="53"/>
        <v>118583357.69938433</v>
      </c>
      <c r="Q71" s="26">
        <f t="shared" si="53"/>
        <v>117442700.70328943</v>
      </c>
      <c r="R71" s="26">
        <f t="shared" si="53"/>
        <v>116207225.66612759</v>
      </c>
      <c r="S71" s="34" t="s">
        <v>22</v>
      </c>
    </row>
    <row r="72" spans="1:19" x14ac:dyDescent="0.2">
      <c r="A72" s="22" t="s">
        <v>25</v>
      </c>
      <c r="J72" s="23"/>
      <c r="K72" s="23"/>
      <c r="L72" s="23"/>
      <c r="M72" s="23"/>
      <c r="N72" s="23"/>
      <c r="O72" s="23"/>
      <c r="P72" s="23"/>
      <c r="Q72" s="23"/>
      <c r="S72" s="26">
        <f>SUM(I71:R71)</f>
        <v>1186622126.6353915</v>
      </c>
    </row>
    <row r="73" spans="1:19" x14ac:dyDescent="0.2">
      <c r="A73" s="23" t="s">
        <v>81</v>
      </c>
      <c r="B73" s="23"/>
      <c r="C73" s="23"/>
      <c r="D73" s="23"/>
      <c r="E73" s="23"/>
      <c r="F73" s="23">
        <v>0</v>
      </c>
      <c r="G73" s="23"/>
      <c r="H73" s="23"/>
      <c r="I73" s="27">
        <f>F73/20</f>
        <v>0</v>
      </c>
      <c r="J73" s="27">
        <f>I73</f>
        <v>0</v>
      </c>
      <c r="K73" s="27">
        <f t="shared" ref="K73:R73" si="54">J73</f>
        <v>0</v>
      </c>
      <c r="L73" s="27">
        <f t="shared" si="54"/>
        <v>0</v>
      </c>
      <c r="M73" s="27">
        <f t="shared" si="54"/>
        <v>0</v>
      </c>
      <c r="N73" s="27">
        <f t="shared" si="54"/>
        <v>0</v>
      </c>
      <c r="O73" s="27">
        <f t="shared" si="54"/>
        <v>0</v>
      </c>
      <c r="P73" s="27">
        <f t="shared" si="54"/>
        <v>0</v>
      </c>
      <c r="Q73" s="27">
        <f t="shared" si="54"/>
        <v>0</v>
      </c>
      <c r="R73" s="27">
        <f t="shared" si="54"/>
        <v>0</v>
      </c>
      <c r="S73" s="23"/>
    </row>
    <row r="74" spans="1:19" x14ac:dyDescent="0.2">
      <c r="A74" s="22" t="s">
        <v>24</v>
      </c>
      <c r="B74" s="23"/>
      <c r="C74" s="23"/>
      <c r="D74" s="23"/>
      <c r="E74" s="23"/>
      <c r="F74" s="23"/>
      <c r="G74" s="23"/>
      <c r="H74" s="23"/>
      <c r="I74" s="28">
        <f>SUM(I73+I71)</f>
        <v>104453412.96813866</v>
      </c>
      <c r="J74" s="28">
        <f t="shared" ref="J74:R74" si="55">SUM(J73+J71)</f>
        <v>123343776.78130457</v>
      </c>
      <c r="K74" s="28">
        <f t="shared" si="55"/>
        <v>122806390.70177123</v>
      </c>
      <c r="L74" s="28">
        <f t="shared" si="55"/>
        <v>122164528.01510268</v>
      </c>
      <c r="M74" s="28">
        <f t="shared" si="55"/>
        <v>121419712.76986277</v>
      </c>
      <c r="N74" s="28">
        <f t="shared" si="55"/>
        <v>120573508.24129325</v>
      </c>
      <c r="O74" s="28">
        <f t="shared" si="55"/>
        <v>119627513.08911699</v>
      </c>
      <c r="P74" s="28">
        <f t="shared" si="55"/>
        <v>118583357.69938433</v>
      </c>
      <c r="Q74" s="28">
        <f t="shared" si="55"/>
        <v>117442700.70328943</v>
      </c>
      <c r="R74" s="28">
        <f t="shared" si="55"/>
        <v>116207225.66612759</v>
      </c>
    </row>
    <row r="75" spans="1:19" x14ac:dyDescent="0.2">
      <c r="A75" s="15" t="s">
        <v>26</v>
      </c>
      <c r="S75" s="26">
        <f>SUM(I74:R74)</f>
        <v>1186622126.6353915</v>
      </c>
    </row>
    <row r="76" spans="1:19" x14ac:dyDescent="0.2">
      <c r="A76" s="15"/>
      <c r="R76" s="26"/>
    </row>
    <row r="77" spans="1:19" x14ac:dyDescent="0.2">
      <c r="A77" s="22" t="s">
        <v>29</v>
      </c>
      <c r="B77" s="22"/>
      <c r="C77" s="22"/>
      <c r="D77" s="23"/>
      <c r="E77" s="23"/>
      <c r="F77" s="23"/>
      <c r="G77" s="23"/>
      <c r="H77" s="23" t="s">
        <v>28</v>
      </c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</row>
    <row r="78" spans="1:19" x14ac:dyDescent="0.2">
      <c r="A78" s="23" t="s">
        <v>19</v>
      </c>
      <c r="B78" s="23"/>
      <c r="C78" s="23"/>
      <c r="D78" s="23"/>
      <c r="E78" s="23"/>
      <c r="F78" s="23"/>
      <c r="G78" s="23"/>
      <c r="H78" s="24">
        <f>H57</f>
        <v>47.643125769627581</v>
      </c>
      <c r="I78" s="24">
        <f t="shared" ref="I78:R78" si="56">I15*($H$57*(1+0.02*(I2-2022)))</f>
        <v>30443560.01298666</v>
      </c>
      <c r="J78" s="24">
        <f t="shared" si="56"/>
        <v>31203948.070879508</v>
      </c>
      <c r="K78" s="24">
        <f t="shared" si="56"/>
        <v>31966896.838885136</v>
      </c>
      <c r="L78" s="24">
        <f t="shared" si="56"/>
        <v>32732264.858390987</v>
      </c>
      <c r="M78" s="24">
        <f t="shared" si="56"/>
        <v>33499915.81110758</v>
      </c>
      <c r="N78" s="24">
        <f t="shared" si="56"/>
        <v>34269718.357723519</v>
      </c>
      <c r="O78" s="24">
        <f t="shared" si="56"/>
        <v>35041545.98125679</v>
      </c>
      <c r="P78" s="24">
        <f t="shared" si="56"/>
        <v>35815276.834971808</v>
      </c>
      <c r="Q78" s="24">
        <f t="shared" si="56"/>
        <v>36590793.594735138</v>
      </c>
      <c r="R78" s="24">
        <f t="shared" si="56"/>
        <v>37367983.31568642</v>
      </c>
      <c r="S78" s="23"/>
    </row>
    <row r="79" spans="1:19" x14ac:dyDescent="0.2">
      <c r="A79" s="23" t="s">
        <v>74</v>
      </c>
      <c r="B79" s="23"/>
      <c r="C79" s="23"/>
      <c r="D79" s="23"/>
      <c r="E79" s="23"/>
      <c r="F79" s="23"/>
      <c r="G79" s="23"/>
      <c r="H79" s="24">
        <f>H58</f>
        <v>78.280771161677052</v>
      </c>
      <c r="I79" s="24">
        <f>I16*($H$58*(1+0.05*(I2-2022)))</f>
        <v>24462740.988024082</v>
      </c>
      <c r="J79" s="24">
        <f t="shared" ref="J79:R79" si="57">J16*($H$58*(1+0.05*(J2-2022)))</f>
        <v>0</v>
      </c>
      <c r="K79" s="24">
        <f t="shared" si="57"/>
        <v>0</v>
      </c>
      <c r="L79" s="24">
        <f t="shared" si="57"/>
        <v>0</v>
      </c>
      <c r="M79" s="24">
        <f t="shared" si="57"/>
        <v>0</v>
      </c>
      <c r="N79" s="24">
        <f t="shared" si="57"/>
        <v>0</v>
      </c>
      <c r="O79" s="24">
        <f t="shared" si="57"/>
        <v>0</v>
      </c>
      <c r="P79" s="24">
        <f t="shared" si="57"/>
        <v>0</v>
      </c>
      <c r="Q79" s="24">
        <f t="shared" si="57"/>
        <v>0</v>
      </c>
      <c r="R79" s="24">
        <f t="shared" si="57"/>
        <v>0</v>
      </c>
      <c r="S79" s="23"/>
    </row>
    <row r="80" spans="1:19" x14ac:dyDescent="0.2">
      <c r="A80" s="23" t="s">
        <v>20</v>
      </c>
      <c r="B80" s="23"/>
      <c r="C80" s="23"/>
      <c r="D80" s="23"/>
      <c r="E80" s="23"/>
      <c r="F80" s="23"/>
      <c r="G80" s="23"/>
      <c r="H80" s="24">
        <f>H59</f>
        <v>117.41999999999999</v>
      </c>
      <c r="I80" s="24">
        <f t="shared" ref="I80:R80" si="58">I17*($H$59*(1+0.02*(I2-2022)))</f>
        <v>5986411.8659972344</v>
      </c>
      <c r="J80" s="24">
        <f t="shared" si="58"/>
        <v>59050005.416187815</v>
      </c>
      <c r="K80" s="24">
        <f t="shared" si="58"/>
        <v>57906793.244934581</v>
      </c>
      <c r="L80" s="24">
        <f t="shared" si="58"/>
        <v>56689562.924935549</v>
      </c>
      <c r="M80" s="24">
        <f t="shared" si="58"/>
        <v>55399525.851921894</v>
      </c>
      <c r="N80" s="24">
        <f t="shared" si="58"/>
        <v>54037913.994067825</v>
      </c>
      <c r="O80" s="24">
        <f t="shared" si="58"/>
        <v>52605977.458787881</v>
      </c>
      <c r="P80" s="24">
        <f t="shared" si="58"/>
        <v>51104982.179850571</v>
      </c>
      <c r="Q80" s="24">
        <f t="shared" si="58"/>
        <v>49536207.720121376</v>
      </c>
      <c r="R80" s="24">
        <f t="shared" si="58"/>
        <v>47900945.185411252</v>
      </c>
      <c r="S80" s="23"/>
    </row>
    <row r="81" spans="1:19" x14ac:dyDescent="0.2">
      <c r="A81" s="22" t="s">
        <v>21</v>
      </c>
      <c r="B81" s="22"/>
      <c r="C81" s="22"/>
      <c r="D81" s="22"/>
      <c r="E81" s="22"/>
      <c r="F81" s="22"/>
      <c r="G81" s="22"/>
      <c r="H81" s="22"/>
      <c r="I81" s="26">
        <f>SUM(I78:I80)</f>
        <v>60892712.867007978</v>
      </c>
      <c r="J81" s="26">
        <f t="shared" ref="J81:R81" si="59">SUM(J78:J80)</f>
        <v>90253953.487067327</v>
      </c>
      <c r="K81" s="26">
        <f t="shared" si="59"/>
        <v>89873690.083819717</v>
      </c>
      <c r="L81" s="26">
        <f t="shared" si="59"/>
        <v>89421827.783326536</v>
      </c>
      <c r="M81" s="26">
        <f t="shared" si="59"/>
        <v>88899441.663029477</v>
      </c>
      <c r="N81" s="26">
        <f t="shared" si="59"/>
        <v>88307632.351791352</v>
      </c>
      <c r="O81" s="26">
        <f t="shared" si="59"/>
        <v>87647523.440044671</v>
      </c>
      <c r="P81" s="26">
        <f t="shared" si="59"/>
        <v>86920259.014822379</v>
      </c>
      <c r="Q81" s="26">
        <f t="shared" si="59"/>
        <v>86127001.314856514</v>
      </c>
      <c r="R81" s="26">
        <f t="shared" si="59"/>
        <v>85268928.501097679</v>
      </c>
      <c r="S81" s="34" t="s">
        <v>22</v>
      </c>
    </row>
    <row r="82" spans="1:19" x14ac:dyDescent="0.2">
      <c r="A82" s="22" t="s">
        <v>25</v>
      </c>
      <c r="J82" s="23"/>
      <c r="K82" s="23"/>
      <c r="L82" s="23"/>
      <c r="M82" s="23"/>
      <c r="N82" s="23"/>
      <c r="O82" s="23"/>
      <c r="P82" s="23"/>
      <c r="Q82" s="23"/>
      <c r="S82" s="26">
        <f>SUM(I81:R81)</f>
        <v>853612970.50686359</v>
      </c>
    </row>
    <row r="83" spans="1:19" x14ac:dyDescent="0.2">
      <c r="A83" s="23" t="s">
        <v>81</v>
      </c>
      <c r="B83" s="23"/>
      <c r="C83" s="23"/>
      <c r="D83" s="23"/>
      <c r="E83" s="23"/>
      <c r="F83" s="23">
        <v>0</v>
      </c>
      <c r="G83" s="23"/>
      <c r="H83" s="23"/>
      <c r="I83" s="27">
        <f>F83/20</f>
        <v>0</v>
      </c>
      <c r="J83" s="27">
        <f>I83</f>
        <v>0</v>
      </c>
      <c r="K83" s="27">
        <f t="shared" ref="K83:R83" si="60">J83</f>
        <v>0</v>
      </c>
      <c r="L83" s="27">
        <f t="shared" si="60"/>
        <v>0</v>
      </c>
      <c r="M83" s="27">
        <f t="shared" si="60"/>
        <v>0</v>
      </c>
      <c r="N83" s="27">
        <f t="shared" si="60"/>
        <v>0</v>
      </c>
      <c r="O83" s="27">
        <f t="shared" si="60"/>
        <v>0</v>
      </c>
      <c r="P83" s="27">
        <f t="shared" si="60"/>
        <v>0</v>
      </c>
      <c r="Q83" s="27">
        <f t="shared" si="60"/>
        <v>0</v>
      </c>
      <c r="R83" s="27">
        <f t="shared" si="60"/>
        <v>0</v>
      </c>
      <c r="S83" s="23"/>
    </row>
    <row r="84" spans="1:19" x14ac:dyDescent="0.2">
      <c r="A84" s="22" t="s">
        <v>24</v>
      </c>
      <c r="B84" s="23"/>
      <c r="C84" s="23"/>
      <c r="D84" s="23"/>
      <c r="E84" s="23"/>
      <c r="F84" s="23"/>
      <c r="G84" s="23"/>
      <c r="H84" s="23"/>
      <c r="I84" s="28">
        <f>SUM(I83+I81)</f>
        <v>60892712.867007978</v>
      </c>
      <c r="J84" s="28">
        <f t="shared" ref="J84:R84" si="61">SUM(J83+J81)</f>
        <v>90253953.487067327</v>
      </c>
      <c r="K84" s="28">
        <f t="shared" si="61"/>
        <v>89873690.083819717</v>
      </c>
      <c r="L84" s="28">
        <f t="shared" si="61"/>
        <v>89421827.783326536</v>
      </c>
      <c r="M84" s="28">
        <f t="shared" si="61"/>
        <v>88899441.663029477</v>
      </c>
      <c r="N84" s="28">
        <f t="shared" si="61"/>
        <v>88307632.351791352</v>
      </c>
      <c r="O84" s="28">
        <f t="shared" si="61"/>
        <v>87647523.440044671</v>
      </c>
      <c r="P84" s="28">
        <f t="shared" si="61"/>
        <v>86920259.014822379</v>
      </c>
      <c r="Q84" s="28">
        <f t="shared" si="61"/>
        <v>86127001.314856514</v>
      </c>
      <c r="R84" s="28">
        <f t="shared" si="61"/>
        <v>85268928.501097679</v>
      </c>
    </row>
    <row r="85" spans="1:19" x14ac:dyDescent="0.2">
      <c r="A85" s="15" t="s">
        <v>26</v>
      </c>
      <c r="S85" s="26">
        <f>SUM(I84:R84)</f>
        <v>853612970.50686359</v>
      </c>
    </row>
    <row r="86" spans="1:19" s="41" customFormat="1" x14ac:dyDescent="0.2"/>
    <row r="87" spans="1:19" x14ac:dyDescent="0.2">
      <c r="A87" s="15" t="s">
        <v>15</v>
      </c>
    </row>
    <row r="88" spans="1:19" x14ac:dyDescent="0.2">
      <c r="A88" s="22" t="s">
        <v>33</v>
      </c>
      <c r="B88" s="22"/>
      <c r="C88" s="22"/>
      <c r="D88" s="23"/>
      <c r="E88" s="23"/>
      <c r="F88" s="23"/>
      <c r="G88" s="23"/>
      <c r="H88" s="23" t="s">
        <v>18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</row>
    <row r="89" spans="1:19" x14ac:dyDescent="0.2">
      <c r="A89" s="23" t="s">
        <v>19</v>
      </c>
      <c r="B89" s="23"/>
      <c r="C89" s="23"/>
      <c r="D89" s="23"/>
      <c r="E89" s="23"/>
      <c r="F89" s="23"/>
      <c r="G89" s="23"/>
      <c r="H89" s="24">
        <f>H48</f>
        <v>64</v>
      </c>
      <c r="I89" s="24">
        <f t="shared" ref="I89:R89" si="62">I25*($H$89*(1+0.02*(I2-2024)))</f>
        <v>39408358.363605917</v>
      </c>
      <c r="J89" s="24">
        <f t="shared" si="62"/>
        <v>40736316.680244975</v>
      </c>
      <c r="K89" s="24">
        <f t="shared" si="62"/>
        <v>42056158.269311115</v>
      </c>
      <c r="L89" s="24">
        <f t="shared" si="62"/>
        <v>43367774.907770023</v>
      </c>
      <c r="M89" s="24">
        <f t="shared" si="62"/>
        <v>44671089.486709759</v>
      </c>
      <c r="N89" s="24">
        <f t="shared" si="62"/>
        <v>45966053.1704861</v>
      </c>
      <c r="O89" s="24">
        <f t="shared" si="62"/>
        <v>47252642.762168035</v>
      </c>
      <c r="P89" s="24">
        <f t="shared" si="62"/>
        <v>48530858.261755556</v>
      </c>
      <c r="Q89" s="24">
        <f t="shared" si="62"/>
        <v>47144782.234460779</v>
      </c>
      <c r="R89" s="24">
        <f t="shared" si="62"/>
        <v>45576102.167339653</v>
      </c>
      <c r="S89" s="23"/>
    </row>
    <row r="90" spans="1:19" x14ac:dyDescent="0.2">
      <c r="A90" s="23" t="s">
        <v>74</v>
      </c>
      <c r="B90" s="23"/>
      <c r="C90" s="23"/>
      <c r="D90" s="23"/>
      <c r="E90" s="23"/>
      <c r="F90" s="23"/>
      <c r="G90" s="23"/>
      <c r="H90" s="24">
        <f>H49</f>
        <v>196</v>
      </c>
      <c r="I90" s="24">
        <f>I26*($H$90*(1+0.05*(I2-2024)))</f>
        <v>56349999.999999993</v>
      </c>
      <c r="J90" s="24">
        <f t="shared" ref="J90:R90" si="63">J26*($H$90*(1+0.05*(J2-2024)))</f>
        <v>0</v>
      </c>
      <c r="K90" s="24">
        <f t="shared" si="63"/>
        <v>0</v>
      </c>
      <c r="L90" s="24">
        <f t="shared" si="63"/>
        <v>0</v>
      </c>
      <c r="M90" s="24">
        <f t="shared" si="63"/>
        <v>0</v>
      </c>
      <c r="N90" s="24">
        <f t="shared" si="63"/>
        <v>0</v>
      </c>
      <c r="O90" s="24">
        <f t="shared" si="63"/>
        <v>0</v>
      </c>
      <c r="P90" s="24">
        <f t="shared" si="63"/>
        <v>0</v>
      </c>
      <c r="Q90" s="24">
        <f t="shared" si="63"/>
        <v>0</v>
      </c>
      <c r="R90" s="24">
        <f t="shared" si="63"/>
        <v>0</v>
      </c>
      <c r="S90" s="23"/>
    </row>
    <row r="91" spans="1:19" x14ac:dyDescent="0.2">
      <c r="A91" s="23" t="s">
        <v>20</v>
      </c>
      <c r="B91" s="23"/>
      <c r="C91" s="23"/>
      <c r="D91" s="23"/>
      <c r="E91" s="23"/>
      <c r="F91" s="23"/>
      <c r="G91" s="23"/>
      <c r="H91" s="24">
        <f>H50</f>
        <v>171</v>
      </c>
      <c r="I91" s="24">
        <f t="shared" ref="I91:R91" si="64">I27*($H$91*(1+0.02*(I2-2024)))</f>
        <v>8401054.6045327485</v>
      </c>
      <c r="J91" s="24">
        <f t="shared" si="64"/>
        <v>46148295.171889678</v>
      </c>
      <c r="K91" s="24">
        <f t="shared" si="64"/>
        <v>38555336.469656296</v>
      </c>
      <c r="L91" s="24">
        <f t="shared" si="64"/>
        <v>30945593.027190391</v>
      </c>
      <c r="M91" s="24">
        <f t="shared" si="64"/>
        <v>23326950.308897108</v>
      </c>
      <c r="N91" s="24">
        <f t="shared" si="64"/>
        <v>15706784.114910368</v>
      </c>
      <c r="O91" s="24">
        <f t="shared" si="64"/>
        <v>8091979.9878429631</v>
      </c>
      <c r="P91" s="24">
        <f t="shared" si="64"/>
        <v>488952.54532326339</v>
      </c>
      <c r="Q91" s="24">
        <f t="shared" si="64"/>
        <v>0</v>
      </c>
      <c r="R91" s="24">
        <f t="shared" si="64"/>
        <v>0</v>
      </c>
      <c r="S91" s="23" t="s">
        <v>35</v>
      </c>
    </row>
    <row r="92" spans="1:19" x14ac:dyDescent="0.2">
      <c r="A92" s="22" t="s">
        <v>21</v>
      </c>
      <c r="B92" s="22"/>
      <c r="C92" s="22"/>
      <c r="D92" s="22"/>
      <c r="E92" s="22"/>
      <c r="F92" s="22"/>
      <c r="G92" s="22"/>
      <c r="H92" s="22"/>
      <c r="I92" s="26">
        <f>SUM(I89:I91)</f>
        <v>104159412.96813866</v>
      </c>
      <c r="J92" s="26">
        <f t="shared" ref="J92:R92" si="65">SUM(J89:J91)</f>
        <v>86884611.852134645</v>
      </c>
      <c r="K92" s="26">
        <f t="shared" si="65"/>
        <v>80611494.738967419</v>
      </c>
      <c r="L92" s="26">
        <f t="shared" si="65"/>
        <v>74313367.93496041</v>
      </c>
      <c r="M92" s="26">
        <f t="shared" si="65"/>
        <v>67998039.795606866</v>
      </c>
      <c r="N92" s="26">
        <f t="shared" si="65"/>
        <v>61672837.285396472</v>
      </c>
      <c r="O92" s="26">
        <f t="shared" si="65"/>
        <v>55344622.750010997</v>
      </c>
      <c r="P92" s="26">
        <f t="shared" si="65"/>
        <v>49019810.807078816</v>
      </c>
      <c r="Q92" s="26">
        <f t="shared" si="65"/>
        <v>47144782.234460779</v>
      </c>
      <c r="R92" s="26">
        <f t="shared" si="65"/>
        <v>45576102.167339653</v>
      </c>
      <c r="S92" s="34" t="s">
        <v>22</v>
      </c>
    </row>
    <row r="93" spans="1:19" x14ac:dyDescent="0.2">
      <c r="A93" s="22" t="s">
        <v>25</v>
      </c>
      <c r="J93" s="23"/>
      <c r="K93" s="23"/>
      <c r="L93" s="23"/>
      <c r="M93" s="23"/>
      <c r="N93" s="23"/>
      <c r="O93" s="23"/>
      <c r="P93" s="23"/>
      <c r="Q93" s="23"/>
      <c r="S93" s="26">
        <f>SUM(I92:R92)</f>
        <v>672725082.53409481</v>
      </c>
    </row>
    <row r="94" spans="1:19" x14ac:dyDescent="0.2">
      <c r="A94" s="23" t="s">
        <v>81</v>
      </c>
      <c r="B94" s="23"/>
      <c r="C94" s="23"/>
      <c r="D94" s="23"/>
      <c r="E94" s="23"/>
      <c r="F94" s="23">
        <v>0</v>
      </c>
      <c r="G94" s="23"/>
      <c r="H94" s="23"/>
      <c r="I94" s="27">
        <f>F94/20</f>
        <v>0</v>
      </c>
      <c r="J94" s="27">
        <f>I94</f>
        <v>0</v>
      </c>
      <c r="K94" s="27">
        <f t="shared" ref="K94:R94" si="66">J94</f>
        <v>0</v>
      </c>
      <c r="L94" s="27">
        <f t="shared" si="66"/>
        <v>0</v>
      </c>
      <c r="M94" s="27">
        <f t="shared" si="66"/>
        <v>0</v>
      </c>
      <c r="N94" s="27">
        <f t="shared" si="66"/>
        <v>0</v>
      </c>
      <c r="O94" s="27">
        <f t="shared" si="66"/>
        <v>0</v>
      </c>
      <c r="P94" s="27">
        <f t="shared" si="66"/>
        <v>0</v>
      </c>
      <c r="Q94" s="27">
        <f t="shared" si="66"/>
        <v>0</v>
      </c>
      <c r="R94" s="27">
        <f t="shared" si="66"/>
        <v>0</v>
      </c>
      <c r="S94" s="23"/>
    </row>
    <row r="95" spans="1:19" x14ac:dyDescent="0.2">
      <c r="A95" s="22" t="s">
        <v>24</v>
      </c>
      <c r="B95" s="23"/>
      <c r="C95" s="23"/>
      <c r="D95" s="23"/>
      <c r="E95" s="23"/>
      <c r="F95" s="23"/>
      <c r="G95" s="23"/>
      <c r="H95" s="23"/>
      <c r="I95" s="28">
        <f>SUM(I94+I92)</f>
        <v>104159412.96813866</v>
      </c>
      <c r="J95" s="28">
        <f t="shared" ref="J95:R95" si="67">SUM(J94+J92)</f>
        <v>86884611.852134645</v>
      </c>
      <c r="K95" s="28">
        <f t="shared" si="67"/>
        <v>80611494.738967419</v>
      </c>
      <c r="L95" s="28">
        <f t="shared" si="67"/>
        <v>74313367.93496041</v>
      </c>
      <c r="M95" s="28">
        <f t="shared" si="67"/>
        <v>67998039.795606866</v>
      </c>
      <c r="N95" s="28">
        <f t="shared" si="67"/>
        <v>61672837.285396472</v>
      </c>
      <c r="O95" s="28">
        <f t="shared" si="67"/>
        <v>55344622.750010997</v>
      </c>
      <c r="P95" s="28">
        <f t="shared" si="67"/>
        <v>49019810.807078816</v>
      </c>
      <c r="Q95" s="28">
        <f t="shared" si="67"/>
        <v>47144782.234460779</v>
      </c>
      <c r="R95" s="28">
        <f t="shared" si="67"/>
        <v>45576102.167339653</v>
      </c>
    </row>
    <row r="96" spans="1:19" x14ac:dyDescent="0.2">
      <c r="A96" s="15" t="s">
        <v>26</v>
      </c>
      <c r="S96" s="26">
        <f>SUM(I95:R95)</f>
        <v>672725082.53409481</v>
      </c>
    </row>
    <row r="97" spans="1:19" x14ac:dyDescent="0.2">
      <c r="A97" s="15"/>
      <c r="R97" s="26"/>
    </row>
    <row r="98" spans="1:19" x14ac:dyDescent="0.2">
      <c r="A98" s="22" t="s">
        <v>34</v>
      </c>
      <c r="B98" s="22"/>
      <c r="C98" s="22"/>
      <c r="D98" s="23"/>
      <c r="E98" s="23"/>
      <c r="F98" s="23"/>
      <c r="G98" s="23"/>
      <c r="H98" s="23" t="s">
        <v>28</v>
      </c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</row>
    <row r="99" spans="1:19" x14ac:dyDescent="0.2">
      <c r="A99" s="23" t="s">
        <v>19</v>
      </c>
      <c r="B99" s="23"/>
      <c r="C99" s="23"/>
      <c r="D99" s="23"/>
      <c r="E99" s="23"/>
      <c r="F99" s="23"/>
      <c r="G99" s="23"/>
      <c r="H99" s="24">
        <f>H78</f>
        <v>47.643125769627581</v>
      </c>
      <c r="I99" s="24">
        <f t="shared" ref="I99:R99" si="68">I25*($H$57*(1+0.02*(I2-2022)))</f>
        <v>30443560.01298666</v>
      </c>
      <c r="J99" s="24">
        <f t="shared" si="68"/>
        <v>31448236.603976905</v>
      </c>
      <c r="K99" s="24">
        <f t="shared" si="68"/>
        <v>32446065.271389965</v>
      </c>
      <c r="L99" s="24">
        <f t="shared" si="68"/>
        <v>33437005.733322427</v>
      </c>
      <c r="M99" s="24">
        <f t="shared" si="68"/>
        <v>34421038.855870195</v>
      </c>
      <c r="N99" s="24">
        <f t="shared" si="68"/>
        <v>35398164.639033265</v>
      </c>
      <c r="O99" s="24">
        <f t="shared" si="68"/>
        <v>36368400.351160087</v>
      </c>
      <c r="P99" s="24">
        <f t="shared" si="68"/>
        <v>37331778.802112751</v>
      </c>
      <c r="Q99" s="24">
        <f t="shared" si="68"/>
        <v>36246378.517116159</v>
      </c>
      <c r="R99" s="24">
        <f t="shared" si="68"/>
        <v>35022386.574967086</v>
      </c>
      <c r="S99" s="23"/>
    </row>
    <row r="100" spans="1:19" x14ac:dyDescent="0.2">
      <c r="A100" s="23" t="s">
        <v>74</v>
      </c>
      <c r="B100" s="23"/>
      <c r="C100" s="23"/>
      <c r="D100" s="23"/>
      <c r="E100" s="23"/>
      <c r="F100" s="23"/>
      <c r="G100" s="23"/>
      <c r="H100" s="24">
        <f>H79</f>
        <v>78.280771161677052</v>
      </c>
      <c r="I100" s="24">
        <f>I26*($H$58*(1+0.05*(I2-2022)))</f>
        <v>24462740.988024082</v>
      </c>
      <c r="J100" s="24">
        <f t="shared" ref="J100:R100" si="69">J26*($H$58*(1+0.05*(J2-2022)))</f>
        <v>0</v>
      </c>
      <c r="K100" s="24">
        <f t="shared" si="69"/>
        <v>0</v>
      </c>
      <c r="L100" s="24">
        <f t="shared" si="69"/>
        <v>0</v>
      </c>
      <c r="M100" s="24">
        <f t="shared" si="69"/>
        <v>0</v>
      </c>
      <c r="N100" s="24">
        <f t="shared" si="69"/>
        <v>0</v>
      </c>
      <c r="O100" s="24">
        <f t="shared" si="69"/>
        <v>0</v>
      </c>
      <c r="P100" s="24">
        <f t="shared" si="69"/>
        <v>0</v>
      </c>
      <c r="Q100" s="24">
        <f t="shared" si="69"/>
        <v>0</v>
      </c>
      <c r="R100" s="24">
        <f t="shared" si="69"/>
        <v>0</v>
      </c>
      <c r="S100" s="23"/>
    </row>
    <row r="101" spans="1:19" x14ac:dyDescent="0.2">
      <c r="A101" s="23" t="s">
        <v>20</v>
      </c>
      <c r="B101" s="23"/>
      <c r="C101" s="23"/>
      <c r="D101" s="23"/>
      <c r="E101" s="23"/>
      <c r="F101" s="23"/>
      <c r="G101" s="23"/>
      <c r="H101" s="24">
        <f>H80</f>
        <v>117.41999999999999</v>
      </c>
      <c r="I101" s="24">
        <f t="shared" ref="I101:R101" si="70">I27*($H$59*(1+0.02*(I2-2022)))</f>
        <v>5986411.8659972344</v>
      </c>
      <c r="J101" s="24">
        <f t="shared" si="70"/>
        <v>32862144.018698722</v>
      </c>
      <c r="K101" s="24">
        <f t="shared" si="70"/>
        <v>27437379.444042675</v>
      </c>
      <c r="L101" s="24">
        <f t="shared" si="70"/>
        <v>22008211.041004211</v>
      </c>
      <c r="M101" s="24">
        <f t="shared" si="70"/>
        <v>16579868.658148266</v>
      </c>
      <c r="N101" s="24">
        <f t="shared" si="70"/>
        <v>11157232.854039777</v>
      </c>
      <c r="O101" s="24">
        <f t="shared" si="70"/>
        <v>5744848.6173578911</v>
      </c>
      <c r="P101" s="24">
        <f t="shared" si="70"/>
        <v>346938.99493715109</v>
      </c>
      <c r="Q101" s="24">
        <f t="shared" si="70"/>
        <v>0</v>
      </c>
      <c r="R101" s="24">
        <f t="shared" si="70"/>
        <v>0</v>
      </c>
      <c r="S101" s="23" t="s">
        <v>36</v>
      </c>
    </row>
    <row r="102" spans="1:19" x14ac:dyDescent="0.2">
      <c r="A102" s="22" t="s">
        <v>21</v>
      </c>
      <c r="B102" s="22"/>
      <c r="C102" s="22"/>
      <c r="D102" s="22"/>
      <c r="E102" s="22"/>
      <c r="F102" s="22"/>
      <c r="G102" s="22"/>
      <c r="H102" s="22"/>
      <c r="I102" s="26">
        <f>SUM(I99:I101)</f>
        <v>60892712.867007978</v>
      </c>
      <c r="J102" s="26">
        <f t="shared" ref="J102:R102" si="71">SUM(J99:J101)</f>
        <v>64310380.622675627</v>
      </c>
      <c r="K102" s="26">
        <f t="shared" si="71"/>
        <v>59883444.715432644</v>
      </c>
      <c r="L102" s="26">
        <f t="shared" si="71"/>
        <v>55445216.774326637</v>
      </c>
      <c r="M102" s="26">
        <f t="shared" si="71"/>
        <v>51000907.514018461</v>
      </c>
      <c r="N102" s="26">
        <f t="shared" si="71"/>
        <v>46555397.493073046</v>
      </c>
      <c r="O102" s="26">
        <f t="shared" si="71"/>
        <v>42113248.968517974</v>
      </c>
      <c r="P102" s="26">
        <f t="shared" si="71"/>
        <v>37678717.797049902</v>
      </c>
      <c r="Q102" s="26">
        <f t="shared" si="71"/>
        <v>36246378.517116159</v>
      </c>
      <c r="R102" s="26">
        <f t="shared" si="71"/>
        <v>35022386.574967086</v>
      </c>
      <c r="S102" s="34" t="s">
        <v>22</v>
      </c>
    </row>
    <row r="103" spans="1:19" x14ac:dyDescent="0.2">
      <c r="A103" s="22" t="s">
        <v>25</v>
      </c>
      <c r="J103" s="23"/>
      <c r="K103" s="23"/>
      <c r="L103" s="23"/>
      <c r="M103" s="23"/>
      <c r="N103" s="23"/>
      <c r="O103" s="23"/>
      <c r="P103" s="23"/>
      <c r="Q103" s="23"/>
      <c r="S103" s="26">
        <f>SUM(I102:R102)</f>
        <v>489148791.84418553</v>
      </c>
    </row>
    <row r="104" spans="1:19" x14ac:dyDescent="0.2">
      <c r="A104" s="23" t="s">
        <v>81</v>
      </c>
      <c r="B104" s="23"/>
      <c r="C104" s="23"/>
      <c r="D104" s="23"/>
      <c r="E104" s="23"/>
      <c r="F104" s="23">
        <v>0</v>
      </c>
      <c r="G104" s="23"/>
      <c r="H104" s="23"/>
      <c r="I104" s="27">
        <f>F104/20</f>
        <v>0</v>
      </c>
      <c r="J104" s="27">
        <f>I104</f>
        <v>0</v>
      </c>
      <c r="K104" s="27">
        <f t="shared" ref="K104:R104" si="72">J104</f>
        <v>0</v>
      </c>
      <c r="L104" s="27">
        <f t="shared" si="72"/>
        <v>0</v>
      </c>
      <c r="M104" s="27">
        <f t="shared" si="72"/>
        <v>0</v>
      </c>
      <c r="N104" s="27">
        <f t="shared" si="72"/>
        <v>0</v>
      </c>
      <c r="O104" s="27">
        <f t="shared" si="72"/>
        <v>0</v>
      </c>
      <c r="P104" s="27">
        <f t="shared" si="72"/>
        <v>0</v>
      </c>
      <c r="Q104" s="27">
        <f t="shared" si="72"/>
        <v>0</v>
      </c>
      <c r="R104" s="27">
        <f t="shared" si="72"/>
        <v>0</v>
      </c>
      <c r="S104" s="23"/>
    </row>
    <row r="105" spans="1:19" x14ac:dyDescent="0.2">
      <c r="A105" s="22" t="s">
        <v>24</v>
      </c>
      <c r="B105" s="23"/>
      <c r="C105" s="23"/>
      <c r="D105" s="23"/>
      <c r="E105" s="23"/>
      <c r="F105" s="23"/>
      <c r="G105" s="23"/>
      <c r="H105" s="23"/>
      <c r="I105" s="28">
        <f>SUM(I104+I102)</f>
        <v>60892712.867007978</v>
      </c>
      <c r="J105" s="28">
        <f t="shared" ref="J105:R105" si="73">SUM(J104+J102)</f>
        <v>64310380.622675627</v>
      </c>
      <c r="K105" s="28">
        <f t="shared" si="73"/>
        <v>59883444.715432644</v>
      </c>
      <c r="L105" s="28">
        <f t="shared" si="73"/>
        <v>55445216.774326637</v>
      </c>
      <c r="M105" s="28">
        <f t="shared" si="73"/>
        <v>51000907.514018461</v>
      </c>
      <c r="N105" s="28">
        <f t="shared" si="73"/>
        <v>46555397.493073046</v>
      </c>
      <c r="O105" s="28">
        <f t="shared" si="73"/>
        <v>42113248.968517974</v>
      </c>
      <c r="P105" s="28">
        <f t="shared" si="73"/>
        <v>37678717.797049902</v>
      </c>
      <c r="Q105" s="28">
        <f t="shared" si="73"/>
        <v>36246378.517116159</v>
      </c>
      <c r="R105" s="28">
        <f t="shared" si="73"/>
        <v>35022386.574967086</v>
      </c>
    </row>
    <row r="106" spans="1:19" x14ac:dyDescent="0.2">
      <c r="A106" s="15" t="s">
        <v>26</v>
      </c>
      <c r="S106" s="26">
        <f>SUM(I105:R105)</f>
        <v>489148791.84418553</v>
      </c>
    </row>
    <row r="107" spans="1:19" s="41" customFormat="1" x14ac:dyDescent="0.2"/>
    <row r="108" spans="1:19" x14ac:dyDescent="0.2">
      <c r="A108" s="15" t="s">
        <v>102</v>
      </c>
    </row>
    <row r="109" spans="1:19" x14ac:dyDescent="0.2">
      <c r="A109" s="22" t="s">
        <v>104</v>
      </c>
      <c r="B109" s="22"/>
      <c r="C109" s="22"/>
      <c r="D109" s="23"/>
      <c r="E109" s="23"/>
      <c r="F109" s="23"/>
      <c r="G109" s="23"/>
      <c r="H109" s="23" t="s">
        <v>18</v>
      </c>
      <c r="I109" s="23"/>
      <c r="J109" s="23"/>
      <c r="K109" s="23"/>
      <c r="L109" s="23"/>
      <c r="M109" s="23"/>
      <c r="N109" s="23"/>
      <c r="O109" s="23"/>
      <c r="P109" s="23"/>
      <c r="Q109" s="23"/>
      <c r="R109" s="23"/>
      <c r="S109" s="23"/>
    </row>
    <row r="110" spans="1:19" x14ac:dyDescent="0.2">
      <c r="A110" s="23" t="s">
        <v>19</v>
      </c>
      <c r="B110" s="23"/>
      <c r="C110" s="23"/>
      <c r="D110" s="23"/>
      <c r="E110" s="23"/>
      <c r="F110" s="23"/>
      <c r="G110" s="23"/>
      <c r="H110" s="24">
        <f>H89</f>
        <v>64</v>
      </c>
      <c r="I110" s="24">
        <f t="shared" ref="I110:R110" si="74">I36*($H$110*(1+0.02*(I2-2024)))</f>
        <v>39408358.363605917</v>
      </c>
      <c r="J110" s="24">
        <f t="shared" si="74"/>
        <v>40728193.235806018</v>
      </c>
      <c r="K110" s="24">
        <f t="shared" si="74"/>
        <v>38886225.719942704</v>
      </c>
      <c r="L110" s="24">
        <f t="shared" si="74"/>
        <v>37029751.245431922</v>
      </c>
      <c r="M110" s="24">
        <f t="shared" si="74"/>
        <v>35161643.988285288</v>
      </c>
      <c r="N110" s="24">
        <f t="shared" si="74"/>
        <v>33284615.646242026</v>
      </c>
      <c r="O110" s="24">
        <f t="shared" si="74"/>
        <v>31401220.067559551</v>
      </c>
      <c r="P110" s="24">
        <f t="shared" si="74"/>
        <v>29513858.044800524</v>
      </c>
      <c r="Q110" s="24">
        <f t="shared" si="74"/>
        <v>27624782.234460779</v>
      </c>
      <c r="R110" s="24">
        <f t="shared" si="74"/>
        <v>25736102.167339653</v>
      </c>
      <c r="S110" s="23"/>
    </row>
    <row r="111" spans="1:19" x14ac:dyDescent="0.2">
      <c r="A111" s="23" t="s">
        <v>74</v>
      </c>
      <c r="B111" s="23"/>
      <c r="C111" s="23"/>
      <c r="D111" s="23"/>
      <c r="E111" s="23"/>
      <c r="F111" s="23"/>
      <c r="G111" s="23"/>
      <c r="H111" s="24">
        <f>H90</f>
        <v>196</v>
      </c>
      <c r="I111" s="24">
        <f>I37*($H$111*(1+0.05*(I2-2024)))</f>
        <v>56349999.999999993</v>
      </c>
      <c r="J111" s="24">
        <f t="shared" ref="J111:R111" si="75">J37*($H$111*(1+0.05*(J2-2024)))</f>
        <v>58800000</v>
      </c>
      <c r="K111" s="24">
        <f t="shared" si="75"/>
        <v>61250000</v>
      </c>
      <c r="L111" s="24">
        <f t="shared" si="75"/>
        <v>63700000</v>
      </c>
      <c r="M111" s="24">
        <f t="shared" si="75"/>
        <v>66150000.000000007</v>
      </c>
      <c r="N111" s="24">
        <f t="shared" si="75"/>
        <v>68600000</v>
      </c>
      <c r="O111" s="24">
        <f t="shared" si="75"/>
        <v>71050000</v>
      </c>
      <c r="P111" s="24">
        <f t="shared" si="75"/>
        <v>73500000</v>
      </c>
      <c r="Q111" s="24">
        <f t="shared" si="75"/>
        <v>75950000</v>
      </c>
      <c r="R111" s="24">
        <f t="shared" si="75"/>
        <v>78400000</v>
      </c>
      <c r="S111" s="23"/>
    </row>
    <row r="112" spans="1:19" x14ac:dyDescent="0.2">
      <c r="A112" s="23" t="s">
        <v>20</v>
      </c>
      <c r="B112" s="23"/>
      <c r="C112" s="23"/>
      <c r="D112" s="23"/>
      <c r="E112" s="23"/>
      <c r="F112" s="23"/>
      <c r="G112" s="23"/>
      <c r="H112" s="24">
        <f>H91</f>
        <v>171</v>
      </c>
      <c r="I112" s="24">
        <f t="shared" ref="I112:R112" si="76">I38*($H$112*(1+0.02*(I2-2024)))</f>
        <v>8401054.6045327485</v>
      </c>
      <c r="J112" s="24">
        <f t="shared" si="76"/>
        <v>0</v>
      </c>
      <c r="K112" s="24">
        <f t="shared" si="76"/>
        <v>0</v>
      </c>
      <c r="L112" s="24">
        <f t="shared" si="76"/>
        <v>0</v>
      </c>
      <c r="M112" s="24">
        <f t="shared" si="76"/>
        <v>0</v>
      </c>
      <c r="N112" s="24">
        <f t="shared" si="76"/>
        <v>0</v>
      </c>
      <c r="O112" s="24">
        <f t="shared" si="76"/>
        <v>0</v>
      </c>
      <c r="P112" s="24">
        <f t="shared" si="76"/>
        <v>0</v>
      </c>
      <c r="Q112" s="24">
        <f t="shared" si="76"/>
        <v>0</v>
      </c>
      <c r="R112" s="24">
        <f t="shared" si="76"/>
        <v>0</v>
      </c>
      <c r="S112" s="23" t="s">
        <v>35</v>
      </c>
    </row>
    <row r="113" spans="1:19" x14ac:dyDescent="0.2">
      <c r="A113" s="22" t="s">
        <v>21</v>
      </c>
      <c r="B113" s="22"/>
      <c r="C113" s="22"/>
      <c r="D113" s="22"/>
      <c r="E113" s="22"/>
      <c r="F113" s="22"/>
      <c r="G113" s="22"/>
      <c r="H113" s="22"/>
      <c r="I113" s="26">
        <f>SUM(I110:I112)</f>
        <v>104159412.96813866</v>
      </c>
      <c r="J113" s="26">
        <f t="shared" ref="J113:R113" si="77">SUM(J110:J112)</f>
        <v>99528193.235806018</v>
      </c>
      <c r="K113" s="26">
        <f t="shared" si="77"/>
        <v>100136225.7199427</v>
      </c>
      <c r="L113" s="26">
        <f t="shared" si="77"/>
        <v>100729751.24543193</v>
      </c>
      <c r="M113" s="26">
        <f t="shared" si="77"/>
        <v>101311643.9882853</v>
      </c>
      <c r="N113" s="26">
        <f t="shared" si="77"/>
        <v>101884615.64624202</v>
      </c>
      <c r="O113" s="26">
        <f t="shared" si="77"/>
        <v>102451220.06755956</v>
      </c>
      <c r="P113" s="26">
        <f t="shared" si="77"/>
        <v>103013858.04480052</v>
      </c>
      <c r="Q113" s="26">
        <f t="shared" si="77"/>
        <v>103574782.23446077</v>
      </c>
      <c r="R113" s="26">
        <f t="shared" si="77"/>
        <v>104136102.16733965</v>
      </c>
      <c r="S113" s="34" t="s">
        <v>22</v>
      </c>
    </row>
    <row r="114" spans="1:19" x14ac:dyDescent="0.2">
      <c r="A114" s="22" t="s">
        <v>25</v>
      </c>
      <c r="J114" s="23"/>
      <c r="K114" s="23"/>
      <c r="L114" s="23"/>
      <c r="M114" s="23"/>
      <c r="N114" s="23"/>
      <c r="O114" s="23"/>
      <c r="P114" s="23"/>
      <c r="Q114" s="23"/>
      <c r="S114" s="26">
        <f>SUM(I113:R113)</f>
        <v>1020925805.3180071</v>
      </c>
    </row>
    <row r="115" spans="1:19" x14ac:dyDescent="0.2">
      <c r="A115" s="23" t="s">
        <v>81</v>
      </c>
      <c r="B115" s="23"/>
      <c r="C115" s="23"/>
      <c r="D115" s="23"/>
      <c r="E115" s="23"/>
      <c r="F115" s="24">
        <f>F62</f>
        <v>220000000</v>
      </c>
      <c r="G115" s="24"/>
      <c r="H115" s="23"/>
      <c r="I115" s="27">
        <f>F115/20</f>
        <v>11000000</v>
      </c>
      <c r="J115" s="27">
        <f>I115</f>
        <v>11000000</v>
      </c>
      <c r="K115" s="27">
        <f t="shared" ref="K115:R115" si="78">J115</f>
        <v>11000000</v>
      </c>
      <c r="L115" s="27">
        <f t="shared" si="78"/>
        <v>11000000</v>
      </c>
      <c r="M115" s="27">
        <f t="shared" si="78"/>
        <v>11000000</v>
      </c>
      <c r="N115" s="27">
        <f t="shared" si="78"/>
        <v>11000000</v>
      </c>
      <c r="O115" s="27">
        <f t="shared" si="78"/>
        <v>11000000</v>
      </c>
      <c r="P115" s="27">
        <f t="shared" si="78"/>
        <v>11000000</v>
      </c>
      <c r="Q115" s="27">
        <f t="shared" si="78"/>
        <v>11000000</v>
      </c>
      <c r="R115" s="27">
        <f t="shared" si="78"/>
        <v>11000000</v>
      </c>
      <c r="S115" s="23"/>
    </row>
    <row r="116" spans="1:19" x14ac:dyDescent="0.2">
      <c r="A116" s="22" t="s">
        <v>24</v>
      </c>
      <c r="B116" s="23"/>
      <c r="C116" s="23"/>
      <c r="D116" s="23"/>
      <c r="E116" s="23"/>
      <c r="F116" s="23"/>
      <c r="G116" s="23"/>
      <c r="H116" s="23"/>
      <c r="I116" s="28">
        <f>SUM(I115+I113)</f>
        <v>115159412.96813866</v>
      </c>
      <c r="J116" s="28">
        <f t="shared" ref="J116:R116" si="79">SUM(J115+J113)</f>
        <v>110528193.23580602</v>
      </c>
      <c r="K116" s="28">
        <f t="shared" si="79"/>
        <v>111136225.7199427</v>
      </c>
      <c r="L116" s="28">
        <f t="shared" si="79"/>
        <v>111729751.24543193</v>
      </c>
      <c r="M116" s="28">
        <f t="shared" si="79"/>
        <v>112311643.9882853</v>
      </c>
      <c r="N116" s="28">
        <f t="shared" si="79"/>
        <v>112884615.64624202</v>
      </c>
      <c r="O116" s="28">
        <f t="shared" si="79"/>
        <v>113451220.06755956</v>
      </c>
      <c r="P116" s="28">
        <f t="shared" si="79"/>
        <v>114013858.04480052</v>
      </c>
      <c r="Q116" s="28">
        <f t="shared" si="79"/>
        <v>114574782.23446077</v>
      </c>
      <c r="R116" s="28">
        <f t="shared" si="79"/>
        <v>115136102.16733965</v>
      </c>
    </row>
    <row r="117" spans="1:19" x14ac:dyDescent="0.2">
      <c r="A117" s="15" t="s">
        <v>26</v>
      </c>
      <c r="S117" s="26">
        <f>SUM(I116:R116)</f>
        <v>1130925805.318007</v>
      </c>
    </row>
    <row r="118" spans="1:19" x14ac:dyDescent="0.2">
      <c r="A118" s="15"/>
      <c r="R118" s="26"/>
    </row>
    <row r="119" spans="1:19" x14ac:dyDescent="0.2">
      <c r="A119" s="22" t="s">
        <v>105</v>
      </c>
      <c r="B119" s="22"/>
      <c r="C119" s="22"/>
      <c r="D119" s="23"/>
      <c r="E119" s="23"/>
      <c r="F119" s="23"/>
      <c r="G119" s="23"/>
      <c r="H119" s="23" t="s">
        <v>28</v>
      </c>
      <c r="I119" s="23"/>
      <c r="J119" s="23"/>
      <c r="K119" s="23"/>
      <c r="L119" s="23"/>
      <c r="M119" s="23"/>
      <c r="N119" s="23"/>
      <c r="O119" s="23"/>
      <c r="P119" s="23"/>
      <c r="Q119" s="23"/>
      <c r="R119" s="23"/>
      <c r="S119" s="23"/>
    </row>
    <row r="120" spans="1:19" x14ac:dyDescent="0.2">
      <c r="A120" s="23" t="s">
        <v>19</v>
      </c>
      <c r="B120" s="23"/>
      <c r="C120" s="23"/>
      <c r="D120" s="23"/>
      <c r="E120" s="23"/>
      <c r="F120" s="23"/>
      <c r="G120" s="23"/>
      <c r="H120" s="24">
        <f>H99</f>
        <v>47.643125769627581</v>
      </c>
      <c r="I120" s="24">
        <f t="shared" ref="I120:R120" si="80">I36*($H$120*(1+0.02*(I2-2022)))</f>
        <v>30443560.01298666</v>
      </c>
      <c r="J120" s="24">
        <f t="shared" si="80"/>
        <v>31441965.344727803</v>
      </c>
      <c r="K120" s="24">
        <f t="shared" si="80"/>
        <v>30000481.969556067</v>
      </c>
      <c r="L120" s="24">
        <f t="shared" si="80"/>
        <v>28550323.5370089</v>
      </c>
      <c r="M120" s="24">
        <f t="shared" si="80"/>
        <v>27093592.922490124</v>
      </c>
      <c r="N120" s="24">
        <f t="shared" si="80"/>
        <v>25632270.411006838</v>
      </c>
      <c r="O120" s="24">
        <f t="shared" si="80"/>
        <v>24168217.398545574</v>
      </c>
      <c r="P120" s="24">
        <f t="shared" si="80"/>
        <v>22703180.194810595</v>
      </c>
      <c r="Q120" s="24">
        <f t="shared" si="80"/>
        <v>21238793.899683472</v>
      </c>
      <c r="R120" s="24">
        <f t="shared" si="80"/>
        <v>19776586.328686256</v>
      </c>
      <c r="S120" s="23"/>
    </row>
    <row r="121" spans="1:19" x14ac:dyDescent="0.2">
      <c r="A121" s="23" t="s">
        <v>74</v>
      </c>
      <c r="B121" s="23"/>
      <c r="C121" s="23"/>
      <c r="D121" s="23"/>
      <c r="E121" s="23"/>
      <c r="F121" s="23"/>
      <c r="G121" s="23"/>
      <c r="H121" s="24">
        <f>H100</f>
        <v>78.280771161677052</v>
      </c>
      <c r="I121" s="24">
        <f>I37*($H$121*(1+0.05*(I2-2022)))</f>
        <v>24462740.988024082</v>
      </c>
      <c r="J121" s="24">
        <f t="shared" ref="J121:R121" si="81">J37*($H$121*(1+0.05*(J2-2022)))</f>
        <v>25441250.62754504</v>
      </c>
      <c r="K121" s="24">
        <f t="shared" si="81"/>
        <v>26419760.267066006</v>
      </c>
      <c r="L121" s="24">
        <f t="shared" si="81"/>
        <v>27398269.906586967</v>
      </c>
      <c r="M121" s="24">
        <f t="shared" si="81"/>
        <v>28376779.546107929</v>
      </c>
      <c r="N121" s="24">
        <f t="shared" si="81"/>
        <v>29355289.185628895</v>
      </c>
      <c r="O121" s="24">
        <f t="shared" si="81"/>
        <v>30333798.82514986</v>
      </c>
      <c r="P121" s="24">
        <f t="shared" si="81"/>
        <v>31312308.464670822</v>
      </c>
      <c r="Q121" s="24">
        <f t="shared" si="81"/>
        <v>32290818.104191784</v>
      </c>
      <c r="R121" s="24">
        <f t="shared" si="81"/>
        <v>33269327.743712749</v>
      </c>
      <c r="S121" s="23"/>
    </row>
    <row r="122" spans="1:19" x14ac:dyDescent="0.2">
      <c r="A122" s="23" t="s">
        <v>20</v>
      </c>
      <c r="B122" s="23"/>
      <c r="C122" s="23"/>
      <c r="D122" s="23"/>
      <c r="E122" s="23"/>
      <c r="F122" s="23"/>
      <c r="G122" s="23"/>
      <c r="H122" s="24">
        <f>H101</f>
        <v>117.41999999999999</v>
      </c>
      <c r="I122" s="24">
        <f t="shared" ref="I122:R122" si="82">I38*($H$122*(1+0.02*(I2-2022)))</f>
        <v>5986411.8659972344</v>
      </c>
      <c r="J122" s="24">
        <f t="shared" si="82"/>
        <v>0</v>
      </c>
      <c r="K122" s="24">
        <f t="shared" si="82"/>
        <v>0</v>
      </c>
      <c r="L122" s="24">
        <f t="shared" si="82"/>
        <v>0</v>
      </c>
      <c r="M122" s="24">
        <f t="shared" si="82"/>
        <v>0</v>
      </c>
      <c r="N122" s="24">
        <f t="shared" si="82"/>
        <v>0</v>
      </c>
      <c r="O122" s="24">
        <f t="shared" si="82"/>
        <v>0</v>
      </c>
      <c r="P122" s="24">
        <f t="shared" si="82"/>
        <v>0</v>
      </c>
      <c r="Q122" s="24">
        <f t="shared" si="82"/>
        <v>0</v>
      </c>
      <c r="R122" s="24">
        <f t="shared" si="82"/>
        <v>0</v>
      </c>
      <c r="S122" s="23" t="s">
        <v>36</v>
      </c>
    </row>
    <row r="123" spans="1:19" x14ac:dyDescent="0.2">
      <c r="A123" s="22" t="s">
        <v>21</v>
      </c>
      <c r="B123" s="22"/>
      <c r="C123" s="22"/>
      <c r="D123" s="22"/>
      <c r="E123" s="22"/>
      <c r="F123" s="22"/>
      <c r="G123" s="22"/>
      <c r="H123" s="22"/>
      <c r="I123" s="26">
        <f>SUM(I120:I122)</f>
        <v>60892712.867007978</v>
      </c>
      <c r="J123" s="26">
        <f t="shared" ref="J123:R123" si="83">SUM(J120:J122)</f>
        <v>56883215.972272843</v>
      </c>
      <c r="K123" s="26">
        <f t="shared" si="83"/>
        <v>56420242.236622073</v>
      </c>
      <c r="L123" s="26">
        <f t="shared" si="83"/>
        <v>55948593.443595871</v>
      </c>
      <c r="M123" s="26">
        <f t="shared" si="83"/>
        <v>55470372.468598053</v>
      </c>
      <c r="N123" s="26">
        <f t="shared" si="83"/>
        <v>54987559.596635729</v>
      </c>
      <c r="O123" s="26">
        <f t="shared" si="83"/>
        <v>54502016.223695435</v>
      </c>
      <c r="P123" s="26">
        <f t="shared" si="83"/>
        <v>54015488.659481421</v>
      </c>
      <c r="Q123" s="26">
        <f t="shared" si="83"/>
        <v>53529612.003875256</v>
      </c>
      <c r="R123" s="26">
        <f t="shared" si="83"/>
        <v>53045914.072399005</v>
      </c>
      <c r="S123" s="34" t="s">
        <v>22</v>
      </c>
    </row>
    <row r="124" spans="1:19" x14ac:dyDescent="0.2">
      <c r="A124" s="22" t="s">
        <v>25</v>
      </c>
      <c r="J124" s="23"/>
      <c r="K124" s="23"/>
      <c r="L124" s="23"/>
      <c r="M124" s="23"/>
      <c r="N124" s="23"/>
      <c r="O124" s="23"/>
      <c r="P124" s="23"/>
      <c r="Q124" s="23"/>
      <c r="S124" s="26">
        <f>SUM(I123:R123)</f>
        <v>555695727.54418361</v>
      </c>
    </row>
    <row r="125" spans="1:19" x14ac:dyDescent="0.2">
      <c r="A125" s="23" t="s">
        <v>81</v>
      </c>
      <c r="B125" s="23"/>
      <c r="C125" s="23"/>
      <c r="D125" s="23"/>
      <c r="E125" s="23"/>
      <c r="F125" s="24">
        <f>F53</f>
        <v>220000000</v>
      </c>
      <c r="G125" s="24"/>
      <c r="H125" s="23"/>
      <c r="I125" s="27">
        <f>F125/20</f>
        <v>11000000</v>
      </c>
      <c r="J125" s="27">
        <f>I125</f>
        <v>11000000</v>
      </c>
      <c r="K125" s="27">
        <f t="shared" ref="K125:R125" si="84">J125</f>
        <v>11000000</v>
      </c>
      <c r="L125" s="27">
        <f t="shared" si="84"/>
        <v>11000000</v>
      </c>
      <c r="M125" s="27">
        <f t="shared" si="84"/>
        <v>11000000</v>
      </c>
      <c r="N125" s="27">
        <f t="shared" si="84"/>
        <v>11000000</v>
      </c>
      <c r="O125" s="27">
        <f t="shared" si="84"/>
        <v>11000000</v>
      </c>
      <c r="P125" s="27">
        <f t="shared" si="84"/>
        <v>11000000</v>
      </c>
      <c r="Q125" s="27">
        <f t="shared" si="84"/>
        <v>11000000</v>
      </c>
      <c r="R125" s="27">
        <f t="shared" si="84"/>
        <v>11000000</v>
      </c>
      <c r="S125" s="23"/>
    </row>
    <row r="126" spans="1:19" x14ac:dyDescent="0.2">
      <c r="A126" s="22" t="s">
        <v>24</v>
      </c>
      <c r="B126" s="23"/>
      <c r="C126" s="23"/>
      <c r="D126" s="23"/>
      <c r="E126" s="23"/>
      <c r="F126" s="23"/>
      <c r="G126" s="23"/>
      <c r="H126" s="23"/>
      <c r="I126" s="28">
        <f>SUM(I125+I123)</f>
        <v>71892712.867007971</v>
      </c>
      <c r="J126" s="28">
        <f t="shared" ref="J126:R126" si="85">SUM(J125+J123)</f>
        <v>67883215.972272843</v>
      </c>
      <c r="K126" s="28">
        <f t="shared" si="85"/>
        <v>67420242.236622065</v>
      </c>
      <c r="L126" s="28">
        <f t="shared" si="85"/>
        <v>66948593.443595871</v>
      </c>
      <c r="M126" s="28">
        <f t="shared" si="85"/>
        <v>66470372.468598053</v>
      </c>
      <c r="N126" s="28">
        <f t="shared" si="85"/>
        <v>65987559.596635729</v>
      </c>
      <c r="O126" s="28">
        <f t="shared" si="85"/>
        <v>65502016.223695435</v>
      </c>
      <c r="P126" s="28">
        <f t="shared" si="85"/>
        <v>65015488.659481421</v>
      </c>
      <c r="Q126" s="28">
        <f t="shared" si="85"/>
        <v>64529612.003875256</v>
      </c>
      <c r="R126" s="28">
        <f t="shared" si="85"/>
        <v>64045914.072399005</v>
      </c>
    </row>
    <row r="127" spans="1:19" x14ac:dyDescent="0.2">
      <c r="A127" s="15" t="s">
        <v>26</v>
      </c>
      <c r="S127" s="26">
        <f>SUM(I126:R126)</f>
        <v>665695727.54418373</v>
      </c>
    </row>
    <row r="128" spans="1:19" ht="17" customHeight="1" x14ac:dyDescent="0.2"/>
    <row r="129" spans="1:12" ht="17" customHeight="1" x14ac:dyDescent="0.2">
      <c r="A129" s="32"/>
    </row>
    <row r="134" spans="1:12" s="42" customFormat="1" x14ac:dyDescent="0.2">
      <c r="A134" s="42" t="s">
        <v>38</v>
      </c>
      <c r="D134" s="42" t="s">
        <v>48</v>
      </c>
      <c r="H134" s="43">
        <v>-0.05</v>
      </c>
      <c r="I134" s="42" t="s">
        <v>134</v>
      </c>
    </row>
    <row r="135" spans="1:12" ht="34" x14ac:dyDescent="0.2">
      <c r="A135" s="15" t="s">
        <v>39</v>
      </c>
      <c r="F135" s="44" t="s">
        <v>100</v>
      </c>
      <c r="G135" s="44" t="s">
        <v>135</v>
      </c>
      <c r="H135" s="45" t="s">
        <v>84</v>
      </c>
      <c r="I135" s="15" t="s">
        <v>44</v>
      </c>
      <c r="J135" s="15" t="s">
        <v>45</v>
      </c>
    </row>
    <row r="136" spans="1:12" x14ac:dyDescent="0.2">
      <c r="A136" t="s">
        <v>12</v>
      </c>
      <c r="F136" s="25">
        <f>S55</f>
        <v>1227351788.5106032</v>
      </c>
      <c r="G136" s="25">
        <f>F136</f>
        <v>1227351788.5106032</v>
      </c>
      <c r="J136" s="13">
        <f>S13-S32</f>
        <v>1340603.776471436</v>
      </c>
      <c r="L136" s="29"/>
    </row>
    <row r="137" spans="1:12" x14ac:dyDescent="0.2">
      <c r="A137" t="s">
        <v>82</v>
      </c>
      <c r="F137" s="25">
        <f>S75</f>
        <v>1186622126.6353915</v>
      </c>
      <c r="G137" s="25">
        <f>F137</f>
        <v>1186622126.6353915</v>
      </c>
      <c r="I137" s="62">
        <f>F136-F137</f>
        <v>40729661.875211716</v>
      </c>
      <c r="K137" t="s">
        <v>125</v>
      </c>
    </row>
    <row r="138" spans="1:12" x14ac:dyDescent="0.2">
      <c r="A138" t="s">
        <v>83</v>
      </c>
      <c r="F138" s="25">
        <f>S96</f>
        <v>672725082.53409481</v>
      </c>
      <c r="G138" s="63">
        <f>F138+H138</f>
        <v>772725082.53409481</v>
      </c>
      <c r="H138" s="47">
        <v>100000000</v>
      </c>
      <c r="I138" s="62">
        <f>F136-F138-H138</f>
        <v>454626705.97650838</v>
      </c>
    </row>
    <row r="139" spans="1:12" x14ac:dyDescent="0.2">
      <c r="A139" t="s">
        <v>103</v>
      </c>
      <c r="F139" s="25">
        <f>S117</f>
        <v>1130925805.318007</v>
      </c>
      <c r="G139" s="25">
        <f>F139+H139</f>
        <v>1230925805.318007</v>
      </c>
      <c r="H139" s="40">
        <f>H138</f>
        <v>100000000</v>
      </c>
      <c r="I139" s="61">
        <f>F136-F139-H139</f>
        <v>-3574016.8074038029</v>
      </c>
      <c r="K139" t="s">
        <v>126</v>
      </c>
    </row>
    <row r="141" spans="1:12" x14ac:dyDescent="0.2">
      <c r="A141" s="15" t="s">
        <v>40</v>
      </c>
      <c r="J141" s="13">
        <f>J136</f>
        <v>1340603.776471436</v>
      </c>
      <c r="L141" s="29"/>
    </row>
    <row r="142" spans="1:12" x14ac:dyDescent="0.2">
      <c r="A142" t="s">
        <v>12</v>
      </c>
      <c r="F142" s="25">
        <f>S64</f>
        <v>734077636.68256271</v>
      </c>
      <c r="G142" s="25">
        <f>F142</f>
        <v>734077636.68256271</v>
      </c>
    </row>
    <row r="143" spans="1:12" x14ac:dyDescent="0.2">
      <c r="A143" t="s">
        <v>82</v>
      </c>
      <c r="F143" s="25">
        <f>S85</f>
        <v>853612970.50686359</v>
      </c>
      <c r="G143" s="25">
        <f>F143</f>
        <v>853612970.50686359</v>
      </c>
      <c r="I143" s="61">
        <f>F142-F143</f>
        <v>-119535333.82430089</v>
      </c>
      <c r="K143" t="s">
        <v>125</v>
      </c>
    </row>
    <row r="144" spans="1:12" ht="17" customHeight="1" x14ac:dyDescent="0.2">
      <c r="A144" t="s">
        <v>83</v>
      </c>
      <c r="F144" s="25">
        <f>S106</f>
        <v>489148791.84418553</v>
      </c>
      <c r="G144" s="63">
        <f>F144+H144</f>
        <v>589148791.84418559</v>
      </c>
      <c r="H144" s="40">
        <f>H138</f>
        <v>100000000</v>
      </c>
      <c r="I144" s="62">
        <f>F142-F144-H144</f>
        <v>144928844.83837718</v>
      </c>
    </row>
    <row r="145" spans="1:19" ht="17" customHeight="1" x14ac:dyDescent="0.2">
      <c r="A145" t="s">
        <v>103</v>
      </c>
      <c r="F145" s="25">
        <f>S127</f>
        <v>665695727.54418373</v>
      </c>
      <c r="G145" s="25">
        <f>F145+H145</f>
        <v>765695727.54418373</v>
      </c>
      <c r="H145" s="40">
        <f>H138</f>
        <v>100000000</v>
      </c>
      <c r="I145" s="61">
        <f>F142-F145-H145</f>
        <v>-31618090.861621022</v>
      </c>
    </row>
    <row r="147" spans="1:19" x14ac:dyDescent="0.2">
      <c r="A147" s="1" t="s">
        <v>41</v>
      </c>
    </row>
    <row r="148" spans="1:19" x14ac:dyDescent="0.2">
      <c r="A148" s="31" t="s">
        <v>133</v>
      </c>
      <c r="B148" s="23"/>
      <c r="C148" s="23"/>
      <c r="D148" s="23"/>
      <c r="E148" s="23"/>
      <c r="F148" s="23"/>
      <c r="G148" s="23"/>
      <c r="H148" s="23"/>
      <c r="I148" s="24"/>
      <c r="J148" s="23"/>
      <c r="K148" s="23"/>
      <c r="L148" s="23"/>
      <c r="M148" s="23"/>
      <c r="N148" s="23"/>
      <c r="O148" s="23"/>
      <c r="P148" s="23"/>
      <c r="Q148" s="23"/>
      <c r="R148" s="23"/>
      <c r="S148" s="23"/>
    </row>
    <row r="149" spans="1:19" x14ac:dyDescent="0.2">
      <c r="A149" t="s">
        <v>54</v>
      </c>
    </row>
    <row r="150" spans="1:19" x14ac:dyDescent="0.2">
      <c r="A150" t="s">
        <v>90</v>
      </c>
    </row>
    <row r="151" spans="1:19" x14ac:dyDescent="0.2">
      <c r="A151" t="s">
        <v>49</v>
      </c>
    </row>
    <row r="152" spans="1:19" x14ac:dyDescent="0.2">
      <c r="A152" t="s">
        <v>98</v>
      </c>
    </row>
    <row r="153" spans="1:19" x14ac:dyDescent="0.2">
      <c r="A153" t="s">
        <v>47</v>
      </c>
    </row>
    <row r="154" spans="1:19" x14ac:dyDescent="0.2">
      <c r="A154" t="s">
        <v>128</v>
      </c>
    </row>
    <row r="155" spans="1:19" x14ac:dyDescent="0.2">
      <c r="A155" t="s">
        <v>42</v>
      </c>
    </row>
    <row r="156" spans="1:19" x14ac:dyDescent="0.2">
      <c r="A156" t="s">
        <v>91</v>
      </c>
    </row>
    <row r="157" spans="1:19" x14ac:dyDescent="0.2">
      <c r="A157" t="s">
        <v>43</v>
      </c>
    </row>
    <row r="158" spans="1:19" x14ac:dyDescent="0.2">
      <c r="A158" t="s">
        <v>46</v>
      </c>
    </row>
    <row r="159" spans="1:19" x14ac:dyDescent="0.2">
      <c r="A159" t="s">
        <v>129</v>
      </c>
    </row>
    <row r="160" spans="1:19" x14ac:dyDescent="0.2">
      <c r="A160" t="s">
        <v>97</v>
      </c>
    </row>
    <row r="161" spans="1:1" x14ac:dyDescent="0.2">
      <c r="A161" t="s">
        <v>99</v>
      </c>
    </row>
    <row r="162" spans="1:1" x14ac:dyDescent="0.2">
      <c r="A162" t="s">
        <v>92</v>
      </c>
    </row>
    <row r="163" spans="1:1" x14ac:dyDescent="0.2">
      <c r="A163" t="s">
        <v>93</v>
      </c>
    </row>
    <row r="164" spans="1:1" x14ac:dyDescent="0.2">
      <c r="A164" t="s">
        <v>94</v>
      </c>
    </row>
    <row r="165" spans="1:1" x14ac:dyDescent="0.2">
      <c r="A165" t="s">
        <v>37</v>
      </c>
    </row>
    <row r="166" spans="1:1" x14ac:dyDescent="0.2">
      <c r="A166" t="s">
        <v>95</v>
      </c>
    </row>
    <row r="168" spans="1:1" x14ac:dyDescent="0.2">
      <c r="A168" s="1" t="s">
        <v>50</v>
      </c>
    </row>
    <row r="169" spans="1:1" x14ac:dyDescent="0.2">
      <c r="A169" t="s">
        <v>136</v>
      </c>
    </row>
    <row r="170" spans="1:1" x14ac:dyDescent="0.2">
      <c r="A170" t="s">
        <v>96</v>
      </c>
    </row>
    <row r="171" spans="1:1" x14ac:dyDescent="0.2">
      <c r="A171" t="s">
        <v>51</v>
      </c>
    </row>
    <row r="172" spans="1:1" x14ac:dyDescent="0.2">
      <c r="A172" s="3" t="s">
        <v>130</v>
      </c>
    </row>
    <row r="173" spans="1:1" x14ac:dyDescent="0.2">
      <c r="A173" s="3" t="s">
        <v>131</v>
      </c>
    </row>
    <row r="174" spans="1:1" x14ac:dyDescent="0.2">
      <c r="A174" t="s">
        <v>52</v>
      </c>
    </row>
    <row r="175" spans="1:1" x14ac:dyDescent="0.2">
      <c r="A175" t="s">
        <v>132</v>
      </c>
    </row>
    <row r="176" spans="1:1" x14ac:dyDescent="0.2">
      <c r="A176" t="s">
        <v>53</v>
      </c>
    </row>
    <row r="177" spans="1:1" x14ac:dyDescent="0.2">
      <c r="A177" t="s">
        <v>106</v>
      </c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Base Scenarios</vt:lpstr>
      <vt:lpstr>-3%</vt:lpstr>
      <vt:lpstr>-4%</vt:lpstr>
      <vt:lpstr>higher capital</vt:lpstr>
      <vt:lpstr>Tipping fees per MV not incl TS</vt:lpstr>
      <vt:lpstr>Tipping fees per MV inc TS</vt:lpstr>
      <vt:lpstr>Disposal costs</vt:lpstr>
      <vt:lpstr>Tipping fee per new incin cont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 Maxwell</dc:creator>
  <cp:lastModifiedBy>Sue Maxwell</cp:lastModifiedBy>
  <dcterms:created xsi:type="dcterms:W3CDTF">2025-09-26T20:24:36Z</dcterms:created>
  <dcterms:modified xsi:type="dcterms:W3CDTF">2025-11-14T04:41:43Z</dcterms:modified>
</cp:coreProperties>
</file>