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emaxwell/Desktop/"/>
    </mc:Choice>
  </mc:AlternateContent>
  <xr:revisionPtr revIDLastSave="0" documentId="8_{6E232665-AE8B-184F-8F38-5B0718DCB0F7}" xr6:coauthVersionLast="47" xr6:coauthVersionMax="47" xr10:uidLastSave="{00000000-0000-0000-0000-000000000000}"/>
  <bookViews>
    <workbookView xWindow="1740" yWindow="-21100" windowWidth="30580" windowHeight="18700" xr2:uid="{5C19F91B-A903-204C-8AF3-7344B8B09665}"/>
  </bookViews>
  <sheets>
    <sheet name="Scenarios" sheetId="1" r:id="rId1"/>
    <sheet name="Sensitivity" sheetId="3" r:id="rId2"/>
    <sheet name="Disposal cos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L19" i="1"/>
  <c r="K19" i="1"/>
  <c r="G4" i="1"/>
  <c r="F37" i="1"/>
  <c r="F36" i="1"/>
  <c r="X4" i="2"/>
  <c r="X3" i="2"/>
  <c r="X2" i="2"/>
  <c r="H3" i="1"/>
  <c r="F47" i="1" l="1"/>
  <c r="F68" i="1" s="1"/>
  <c r="F46" i="1"/>
  <c r="F67" i="1" s="1"/>
  <c r="F45" i="1"/>
  <c r="F66" i="1" s="1"/>
  <c r="F79" i="1"/>
  <c r="F58" i="1"/>
  <c r="N37" i="1"/>
  <c r="F77" i="1"/>
  <c r="F3" i="2"/>
  <c r="F133" i="1"/>
  <c r="F132" i="1"/>
  <c r="F127" i="1"/>
  <c r="E50" i="1"/>
  <c r="P38" i="1"/>
  <c r="O38" i="1"/>
  <c r="J37" i="1"/>
  <c r="E113" i="1"/>
  <c r="G113" i="1" s="1"/>
  <c r="H113" i="1" s="1"/>
  <c r="G41" i="1"/>
  <c r="H41" i="1" s="1"/>
  <c r="H28" i="1"/>
  <c r="I28" i="1" s="1"/>
  <c r="J28" i="1" s="1"/>
  <c r="K28" i="1" s="1"/>
  <c r="L28" i="1" s="1"/>
  <c r="M28" i="1" s="1"/>
  <c r="N28" i="1" s="1"/>
  <c r="O28" i="1" s="1"/>
  <c r="P28" i="1" s="1"/>
  <c r="K38" i="1" l="1"/>
  <c r="M38" i="1"/>
  <c r="N38" i="1"/>
  <c r="L37" i="1"/>
  <c r="O37" i="1"/>
  <c r="K37" i="1"/>
  <c r="J38" i="1"/>
  <c r="G58" i="1"/>
  <c r="F78" i="1"/>
  <c r="P37" i="1"/>
  <c r="G38" i="1"/>
  <c r="F56" i="1"/>
  <c r="G37" i="1"/>
  <c r="H38" i="1"/>
  <c r="F57" i="1"/>
  <c r="H37" i="1"/>
  <c r="I38" i="1"/>
  <c r="L38" i="1"/>
  <c r="I37" i="1"/>
  <c r="M37" i="1"/>
  <c r="I41" i="1"/>
  <c r="I113" i="1"/>
  <c r="H56" i="1" l="1"/>
  <c r="M57" i="1"/>
  <c r="G57" i="1"/>
  <c r="L57" i="1"/>
  <c r="J57" i="1"/>
  <c r="P57" i="1"/>
  <c r="H57" i="1"/>
  <c r="O57" i="1"/>
  <c r="N57" i="1"/>
  <c r="K57" i="1"/>
  <c r="I57" i="1"/>
  <c r="J41" i="1"/>
  <c r="J113" i="1"/>
  <c r="K41" i="1" l="1"/>
  <c r="K113" i="1"/>
  <c r="L41" i="1" l="1"/>
  <c r="L113" i="1"/>
  <c r="M41" i="1" l="1"/>
  <c r="M113" i="1"/>
  <c r="N41" i="1" l="1"/>
  <c r="N113" i="1"/>
  <c r="O41" i="1" l="1"/>
  <c r="O113" i="1"/>
  <c r="P41" i="1" l="1"/>
  <c r="P113" i="1"/>
  <c r="E30" i="1" l="1"/>
  <c r="D29" i="1"/>
  <c r="D31" i="1" s="1"/>
  <c r="C29" i="1"/>
  <c r="B29" i="1"/>
  <c r="B31" i="1" s="1"/>
  <c r="E28" i="1"/>
  <c r="E27" i="1"/>
  <c r="C27" i="1"/>
  <c r="H3" i="2"/>
  <c r="E29" i="1" l="1"/>
  <c r="C31" i="1"/>
  <c r="E31" i="1"/>
  <c r="J3" i="2" l="1"/>
  <c r="L3" i="2" s="1"/>
  <c r="L14" i="2"/>
  <c r="F14" i="2" s="1"/>
  <c r="J13" i="2"/>
  <c r="L13" i="2" s="1"/>
  <c r="F13" i="2" s="1"/>
  <c r="G13" i="2"/>
  <c r="G12" i="2"/>
  <c r="K12" i="2"/>
  <c r="L12" i="2" s="1"/>
  <c r="F12" i="2" s="1"/>
  <c r="F18" i="1" l="1"/>
  <c r="F26" i="1" s="1"/>
  <c r="P7" i="1"/>
  <c r="O7" i="1"/>
  <c r="N7" i="1"/>
  <c r="M7" i="1"/>
  <c r="L7" i="1"/>
  <c r="K7" i="1"/>
  <c r="J7" i="1"/>
  <c r="I7" i="1"/>
  <c r="H7" i="1"/>
  <c r="P15" i="1"/>
  <c r="O15" i="1"/>
  <c r="N15" i="1"/>
  <c r="M15" i="1"/>
  <c r="L15" i="1"/>
  <c r="K15" i="1"/>
  <c r="J15" i="1"/>
  <c r="I15" i="1"/>
  <c r="H15" i="1"/>
  <c r="H19" i="1"/>
  <c r="G88" i="1"/>
  <c r="G87" i="1"/>
  <c r="G92" i="1"/>
  <c r="H92" i="1" s="1"/>
  <c r="G82" i="1"/>
  <c r="H82" i="1" s="1"/>
  <c r="G67" i="1"/>
  <c r="F89" i="1"/>
  <c r="F110" i="1" s="1"/>
  <c r="F88" i="1"/>
  <c r="F109" i="1" s="1"/>
  <c r="F87" i="1"/>
  <c r="F108" i="1" s="1"/>
  <c r="I12" i="1"/>
  <c r="G61" i="1"/>
  <c r="H61" i="1" s="1"/>
  <c r="G71" i="1"/>
  <c r="H71" i="1" s="1"/>
  <c r="G46" i="1"/>
  <c r="G68" i="1"/>
  <c r="E22" i="1"/>
  <c r="D21" i="1"/>
  <c r="C21" i="1"/>
  <c r="B21" i="1"/>
  <c r="B23" i="1" s="1"/>
  <c r="E20" i="1"/>
  <c r="E19" i="1"/>
  <c r="C19" i="1"/>
  <c r="E15" i="1"/>
  <c r="D14" i="1"/>
  <c r="C14" i="1"/>
  <c r="B14" i="1"/>
  <c r="B16" i="1" s="1"/>
  <c r="E13" i="1"/>
  <c r="E12" i="1"/>
  <c r="C12" i="1"/>
  <c r="E9" i="1"/>
  <c r="F9" i="1" s="1"/>
  <c r="D8" i="1"/>
  <c r="D10" i="1" s="1"/>
  <c r="D4" i="1" s="1"/>
  <c r="C8" i="1"/>
  <c r="B8" i="1"/>
  <c r="B10" i="1" s="1"/>
  <c r="B4" i="1" s="1"/>
  <c r="E7" i="1"/>
  <c r="F7" i="1" s="1"/>
  <c r="E6" i="1"/>
  <c r="F6" i="1" s="1"/>
  <c r="C6" i="1"/>
  <c r="G3" i="1"/>
  <c r="I3" i="1" s="1"/>
  <c r="J3" i="1" s="1"/>
  <c r="K3" i="1" s="1"/>
  <c r="L3" i="1" s="1"/>
  <c r="M3" i="1" s="1"/>
  <c r="N3" i="1" s="1"/>
  <c r="O3" i="1" s="1"/>
  <c r="P3" i="1" s="1"/>
  <c r="H2" i="1"/>
  <c r="I2" i="1" s="1"/>
  <c r="J2" i="1" s="1"/>
  <c r="K2" i="1" s="1"/>
  <c r="L2" i="1" s="1"/>
  <c r="M2" i="1" s="1"/>
  <c r="N2" i="1" s="1"/>
  <c r="O2" i="1" s="1"/>
  <c r="P2" i="1" s="1"/>
  <c r="J12" i="1" l="1"/>
  <c r="I56" i="1"/>
  <c r="G110" i="1"/>
  <c r="I109" i="1"/>
  <c r="H109" i="1"/>
  <c r="O109" i="1"/>
  <c r="N109" i="1"/>
  <c r="G109" i="1"/>
  <c r="M109" i="1"/>
  <c r="J109" i="1"/>
  <c r="P109" i="1"/>
  <c r="L109" i="1"/>
  <c r="K109" i="1"/>
  <c r="G108" i="1"/>
  <c r="F100" i="1"/>
  <c r="G79" i="1"/>
  <c r="F98" i="1"/>
  <c r="H77" i="1"/>
  <c r="G77" i="1"/>
  <c r="G50" i="1"/>
  <c r="H50" i="1" s="1"/>
  <c r="I50" i="1" s="1"/>
  <c r="E103" i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B18" i="1"/>
  <c r="B26" i="1"/>
  <c r="D18" i="1"/>
  <c r="D26" i="1"/>
  <c r="O88" i="1"/>
  <c r="P46" i="1"/>
  <c r="I19" i="1"/>
  <c r="I77" i="1" s="1"/>
  <c r="N67" i="1"/>
  <c r="H66" i="1"/>
  <c r="G89" i="1"/>
  <c r="G90" i="1" s="1"/>
  <c r="G93" i="1" s="1"/>
  <c r="L46" i="1"/>
  <c r="L67" i="1"/>
  <c r="M88" i="1"/>
  <c r="M67" i="1"/>
  <c r="H87" i="1"/>
  <c r="N88" i="1"/>
  <c r="O67" i="1"/>
  <c r="H88" i="1"/>
  <c r="J66" i="1"/>
  <c r="I67" i="1"/>
  <c r="J88" i="1"/>
  <c r="I66" i="1"/>
  <c r="P67" i="1"/>
  <c r="I88" i="1"/>
  <c r="J67" i="1"/>
  <c r="K88" i="1"/>
  <c r="P88" i="1"/>
  <c r="H67" i="1"/>
  <c r="K67" i="1"/>
  <c r="L88" i="1"/>
  <c r="I82" i="1"/>
  <c r="I92" i="1"/>
  <c r="J47" i="1"/>
  <c r="J46" i="1"/>
  <c r="H47" i="1"/>
  <c r="P47" i="1"/>
  <c r="K46" i="1"/>
  <c r="I47" i="1"/>
  <c r="K47" i="1"/>
  <c r="E21" i="1"/>
  <c r="O46" i="1"/>
  <c r="M47" i="1"/>
  <c r="I61" i="1"/>
  <c r="M46" i="1"/>
  <c r="N46" i="1"/>
  <c r="L47" i="1"/>
  <c r="C10" i="1"/>
  <c r="C4" i="1" s="1"/>
  <c r="H46" i="1"/>
  <c r="N47" i="1"/>
  <c r="I46" i="1"/>
  <c r="G47" i="1"/>
  <c r="O47" i="1"/>
  <c r="I71" i="1"/>
  <c r="C23" i="1"/>
  <c r="E14" i="1"/>
  <c r="C16" i="1"/>
  <c r="D16" i="1"/>
  <c r="E16" i="1" s="1"/>
  <c r="E8" i="1"/>
  <c r="F8" i="1" s="1"/>
  <c r="D23" i="1"/>
  <c r="E23" i="1" s="1"/>
  <c r="E10" i="1"/>
  <c r="F10" i="1" s="1"/>
  <c r="E4" i="1"/>
  <c r="F4" i="1" s="1"/>
  <c r="K12" i="1" l="1"/>
  <c r="J56" i="1"/>
  <c r="G100" i="1"/>
  <c r="F99" i="1"/>
  <c r="N78" i="1"/>
  <c r="G78" i="1"/>
  <c r="G80" i="1" s="1"/>
  <c r="G83" i="1" s="1"/>
  <c r="K78" i="1"/>
  <c r="J78" i="1"/>
  <c r="I78" i="1"/>
  <c r="P78" i="1"/>
  <c r="O78" i="1"/>
  <c r="M78" i="1"/>
  <c r="L78" i="1"/>
  <c r="H78" i="1"/>
  <c r="G98" i="1"/>
  <c r="J19" i="1"/>
  <c r="C18" i="1"/>
  <c r="C26" i="1"/>
  <c r="I87" i="1"/>
  <c r="G10" i="1"/>
  <c r="J82" i="1"/>
  <c r="J92" i="1"/>
  <c r="J61" i="1"/>
  <c r="J71" i="1"/>
  <c r="J50" i="1"/>
  <c r="J77" i="1" l="1"/>
  <c r="J87" i="1"/>
  <c r="L12" i="1"/>
  <c r="K56" i="1"/>
  <c r="K66" i="1"/>
  <c r="J99" i="1"/>
  <c r="P99" i="1"/>
  <c r="O99" i="1"/>
  <c r="N99" i="1"/>
  <c r="L99" i="1"/>
  <c r="K99" i="1"/>
  <c r="I99" i="1"/>
  <c r="H99" i="1"/>
  <c r="G99" i="1"/>
  <c r="M99" i="1"/>
  <c r="H4" i="1"/>
  <c r="I4" i="1" s="1"/>
  <c r="G23" i="1"/>
  <c r="G16" i="1"/>
  <c r="G12" i="1" s="1"/>
  <c r="G56" i="1" s="1"/>
  <c r="G6" i="1"/>
  <c r="G36" i="1" s="1"/>
  <c r="G18" i="1"/>
  <c r="G39" i="1" s="1"/>
  <c r="K92" i="1"/>
  <c r="K82" i="1"/>
  <c r="K61" i="1"/>
  <c r="K71" i="1"/>
  <c r="K50" i="1"/>
  <c r="H16" i="1" l="1"/>
  <c r="H14" i="1" s="1"/>
  <c r="H58" i="1" s="1"/>
  <c r="H10" i="1"/>
  <c r="H6" i="1" s="1"/>
  <c r="H36" i="1" s="1"/>
  <c r="M12" i="1"/>
  <c r="L56" i="1"/>
  <c r="L66" i="1"/>
  <c r="G42" i="1"/>
  <c r="G31" i="1"/>
  <c r="H18" i="1"/>
  <c r="G26" i="1"/>
  <c r="H26" i="1" s="1"/>
  <c r="I26" i="1" s="1"/>
  <c r="J26" i="1" s="1"/>
  <c r="K26" i="1" s="1"/>
  <c r="L26" i="1" s="1"/>
  <c r="M26" i="1" s="1"/>
  <c r="N26" i="1" s="1"/>
  <c r="O26" i="1" s="1"/>
  <c r="G59" i="1"/>
  <c r="G62" i="1" s="1"/>
  <c r="G66" i="1"/>
  <c r="G69" i="1" s="1"/>
  <c r="G72" i="1" s="1"/>
  <c r="G45" i="1"/>
  <c r="G48" i="1" s="1"/>
  <c r="H68" i="1"/>
  <c r="L92" i="1"/>
  <c r="L82" i="1"/>
  <c r="H45" i="1"/>
  <c r="H48" i="1" s="1"/>
  <c r="L61" i="1"/>
  <c r="L71" i="1"/>
  <c r="L50" i="1"/>
  <c r="J4" i="1"/>
  <c r="I16" i="1"/>
  <c r="I14" i="1" s="1"/>
  <c r="I58" i="1" s="1"/>
  <c r="I10" i="1"/>
  <c r="I6" i="1" s="1"/>
  <c r="I36" i="1" s="1"/>
  <c r="N12" i="1" l="1"/>
  <c r="M56" i="1"/>
  <c r="M66" i="1"/>
  <c r="I18" i="1"/>
  <c r="H39" i="1"/>
  <c r="H23" i="1"/>
  <c r="J18" i="1"/>
  <c r="G51" i="1"/>
  <c r="G111" i="1"/>
  <c r="G101" i="1"/>
  <c r="P26" i="1"/>
  <c r="I68" i="1"/>
  <c r="M82" i="1"/>
  <c r="M92" i="1"/>
  <c r="H69" i="1"/>
  <c r="H72" i="1" s="1"/>
  <c r="I45" i="1"/>
  <c r="I48" i="1" s="1"/>
  <c r="H59" i="1"/>
  <c r="M61" i="1"/>
  <c r="H51" i="1"/>
  <c r="M71" i="1"/>
  <c r="M50" i="1"/>
  <c r="K4" i="1"/>
  <c r="J16" i="1"/>
  <c r="J14" i="1" s="1"/>
  <c r="J58" i="1" s="1"/>
  <c r="J10" i="1"/>
  <c r="J6" i="1" s="1"/>
  <c r="J36" i="1" s="1"/>
  <c r="O12" i="1" l="1"/>
  <c r="N56" i="1"/>
  <c r="N66" i="1"/>
  <c r="H31" i="1"/>
  <c r="J23" i="1"/>
  <c r="J39" i="1"/>
  <c r="J42" i="1" s="1"/>
  <c r="H42" i="1"/>
  <c r="H21" i="1"/>
  <c r="H79" i="1" s="1"/>
  <c r="K18" i="1"/>
  <c r="K23" i="1" s="1"/>
  <c r="I23" i="1"/>
  <c r="I39" i="1"/>
  <c r="I42" i="1" s="1"/>
  <c r="G104" i="1"/>
  <c r="G114" i="1"/>
  <c r="I51" i="1"/>
  <c r="J21" i="1"/>
  <c r="J31" i="1"/>
  <c r="J68" i="1"/>
  <c r="J69" i="1" s="1"/>
  <c r="J72" i="1" s="1"/>
  <c r="N92" i="1"/>
  <c r="N82" i="1"/>
  <c r="I69" i="1"/>
  <c r="I72" i="1" s="1"/>
  <c r="N61" i="1"/>
  <c r="H62" i="1"/>
  <c r="I59" i="1"/>
  <c r="I62" i="1" s="1"/>
  <c r="J45" i="1"/>
  <c r="J48" i="1" s="1"/>
  <c r="N71" i="1"/>
  <c r="N50" i="1"/>
  <c r="L4" i="1"/>
  <c r="K16" i="1"/>
  <c r="K14" i="1" s="1"/>
  <c r="K58" i="1" s="1"/>
  <c r="K10" i="1"/>
  <c r="K6" i="1" s="1"/>
  <c r="K36" i="1" s="1"/>
  <c r="H27" i="1" l="1"/>
  <c r="H29" i="1" s="1"/>
  <c r="P12" i="1"/>
  <c r="O56" i="1"/>
  <c r="O66" i="1"/>
  <c r="L18" i="1"/>
  <c r="L23" i="1" s="1"/>
  <c r="H108" i="1"/>
  <c r="H98" i="1"/>
  <c r="J79" i="1"/>
  <c r="J80" i="1" s="1"/>
  <c r="J83" i="1" s="1"/>
  <c r="J89" i="1"/>
  <c r="J90" i="1" s="1"/>
  <c r="J93" i="1" s="1"/>
  <c r="H80" i="1"/>
  <c r="H83" i="1" s="1"/>
  <c r="H89" i="1"/>
  <c r="H90" i="1" s="1"/>
  <c r="H93" i="1" s="1"/>
  <c r="I31" i="1"/>
  <c r="I21" i="1"/>
  <c r="I79" i="1" s="1"/>
  <c r="J51" i="1"/>
  <c r="K77" i="1"/>
  <c r="K31" i="1"/>
  <c r="J27" i="1"/>
  <c r="K68" i="1"/>
  <c r="O92" i="1"/>
  <c r="O82" i="1"/>
  <c r="O61" i="1"/>
  <c r="K45" i="1"/>
  <c r="K48" i="1" s="1"/>
  <c r="J59" i="1"/>
  <c r="J62" i="1" s="1"/>
  <c r="O71" i="1"/>
  <c r="O50" i="1"/>
  <c r="M4" i="1"/>
  <c r="L16" i="1"/>
  <c r="L14" i="1" s="1"/>
  <c r="L58" i="1" s="1"/>
  <c r="L10" i="1"/>
  <c r="L6" i="1" s="1"/>
  <c r="L36" i="1" s="1"/>
  <c r="I27" i="1" l="1"/>
  <c r="I29" i="1" s="1"/>
  <c r="M18" i="1"/>
  <c r="N18" i="1" s="1"/>
  <c r="P56" i="1"/>
  <c r="P66" i="1"/>
  <c r="J29" i="1"/>
  <c r="J108" i="1"/>
  <c r="J98" i="1"/>
  <c r="H110" i="1"/>
  <c r="H111" i="1" s="1"/>
  <c r="H114" i="1" s="1"/>
  <c r="H100" i="1"/>
  <c r="H101" i="1" s="1"/>
  <c r="H104" i="1" s="1"/>
  <c r="K21" i="1"/>
  <c r="K79" i="1" s="1"/>
  <c r="K39" i="1"/>
  <c r="I80" i="1"/>
  <c r="I83" i="1" s="1"/>
  <c r="I89" i="1"/>
  <c r="I90" i="1" s="1"/>
  <c r="I93" i="1" s="1"/>
  <c r="L77" i="1"/>
  <c r="L31" i="1"/>
  <c r="K27" i="1"/>
  <c r="K87" i="1"/>
  <c r="L68" i="1"/>
  <c r="L69" i="1" s="1"/>
  <c r="L72" i="1" s="1"/>
  <c r="P82" i="1"/>
  <c r="P92" i="1"/>
  <c r="K69" i="1"/>
  <c r="K72" i="1" s="1"/>
  <c r="L45" i="1"/>
  <c r="L48" i="1" s="1"/>
  <c r="K51" i="1"/>
  <c r="P61" i="1"/>
  <c r="M23" i="1"/>
  <c r="M19" i="1" s="1"/>
  <c r="K59" i="1"/>
  <c r="K62" i="1" s="1"/>
  <c r="P71" i="1"/>
  <c r="P50" i="1"/>
  <c r="N4" i="1"/>
  <c r="M16" i="1"/>
  <c r="M14" i="1" s="1"/>
  <c r="M58" i="1" s="1"/>
  <c r="M10" i="1"/>
  <c r="M6" i="1" s="1"/>
  <c r="M36" i="1" s="1"/>
  <c r="J110" i="1" l="1"/>
  <c r="J100" i="1"/>
  <c r="J101" i="1" s="1"/>
  <c r="J104" i="1" s="1"/>
  <c r="I108" i="1"/>
  <c r="I98" i="1"/>
  <c r="J111" i="1"/>
  <c r="J114" i="1" s="1"/>
  <c r="K29" i="1"/>
  <c r="K108" i="1"/>
  <c r="K98" i="1"/>
  <c r="K42" i="1"/>
  <c r="L21" i="1"/>
  <c r="L79" i="1" s="1"/>
  <c r="L39" i="1"/>
  <c r="L42" i="1" s="1"/>
  <c r="L51" i="1"/>
  <c r="M77" i="1"/>
  <c r="M31" i="1"/>
  <c r="L27" i="1"/>
  <c r="L87" i="1"/>
  <c r="K80" i="1"/>
  <c r="K83" i="1" s="1"/>
  <c r="K89" i="1"/>
  <c r="K90" i="1" s="1"/>
  <c r="K93" i="1" s="1"/>
  <c r="M68" i="1"/>
  <c r="O18" i="1"/>
  <c r="N23" i="1"/>
  <c r="N19" i="1" s="1"/>
  <c r="M45" i="1"/>
  <c r="M48" i="1" s="1"/>
  <c r="L59" i="1"/>
  <c r="L62" i="1" s="1"/>
  <c r="O4" i="1"/>
  <c r="N16" i="1"/>
  <c r="N14" i="1" s="1"/>
  <c r="N58" i="1" s="1"/>
  <c r="N10" i="1"/>
  <c r="N6" i="1" s="1"/>
  <c r="N36" i="1" s="1"/>
  <c r="K110" i="1" l="1"/>
  <c r="K111" i="1" s="1"/>
  <c r="K114" i="1" s="1"/>
  <c r="K100" i="1"/>
  <c r="K101" i="1" s="1"/>
  <c r="K104" i="1" s="1"/>
  <c r="L29" i="1"/>
  <c r="L108" i="1"/>
  <c r="L98" i="1"/>
  <c r="I110" i="1"/>
  <c r="I111" i="1" s="1"/>
  <c r="I114" i="1" s="1"/>
  <c r="I100" i="1"/>
  <c r="I101" i="1" s="1"/>
  <c r="I104" i="1" s="1"/>
  <c r="M21" i="1"/>
  <c r="M79" i="1" s="1"/>
  <c r="M39" i="1"/>
  <c r="M42" i="1" s="1"/>
  <c r="N77" i="1"/>
  <c r="N31" i="1"/>
  <c r="M27" i="1"/>
  <c r="L89" i="1"/>
  <c r="L90" i="1" s="1"/>
  <c r="L93" i="1" s="1"/>
  <c r="L80" i="1"/>
  <c r="L83" i="1" s="1"/>
  <c r="M87" i="1"/>
  <c r="N68" i="1"/>
  <c r="M69" i="1"/>
  <c r="M72" i="1" s="1"/>
  <c r="M51" i="1"/>
  <c r="M59" i="1"/>
  <c r="M62" i="1" s="1"/>
  <c r="N45" i="1"/>
  <c r="N48" i="1" s="1"/>
  <c r="P18" i="1"/>
  <c r="O23" i="1"/>
  <c r="O19" i="1" s="1"/>
  <c r="P4" i="1"/>
  <c r="O16" i="1"/>
  <c r="O14" i="1" s="1"/>
  <c r="O58" i="1" s="1"/>
  <c r="O10" i="1"/>
  <c r="O6" i="1" s="1"/>
  <c r="O36" i="1" s="1"/>
  <c r="M108" i="1" l="1"/>
  <c r="M98" i="1"/>
  <c r="L110" i="1"/>
  <c r="L100" i="1"/>
  <c r="L101" i="1" s="1"/>
  <c r="L104" i="1" s="1"/>
  <c r="L111" i="1"/>
  <c r="L114" i="1" s="1"/>
  <c r="M29" i="1"/>
  <c r="N21" i="1"/>
  <c r="N79" i="1" s="1"/>
  <c r="N39" i="1"/>
  <c r="N51" i="1"/>
  <c r="O77" i="1"/>
  <c r="O31" i="1"/>
  <c r="N27" i="1"/>
  <c r="N29" i="1" s="1"/>
  <c r="N87" i="1"/>
  <c r="M80" i="1"/>
  <c r="M89" i="1"/>
  <c r="M90" i="1" s="1"/>
  <c r="O68" i="1"/>
  <c r="O69" i="1" s="1"/>
  <c r="O72" i="1" s="1"/>
  <c r="N69" i="1"/>
  <c r="N72" i="1" s="1"/>
  <c r="N59" i="1"/>
  <c r="N62" i="1" s="1"/>
  <c r="P23" i="1"/>
  <c r="P19" i="1" s="1"/>
  <c r="O45" i="1"/>
  <c r="O48" i="1" s="1"/>
  <c r="P16" i="1"/>
  <c r="P10" i="1"/>
  <c r="M110" i="1" l="1"/>
  <c r="M100" i="1"/>
  <c r="N110" i="1"/>
  <c r="N100" i="1"/>
  <c r="N108" i="1"/>
  <c r="N111" i="1" s="1"/>
  <c r="N114" i="1" s="1"/>
  <c r="N98" i="1"/>
  <c r="N101" i="1" s="1"/>
  <c r="N104" i="1" s="1"/>
  <c r="M101" i="1"/>
  <c r="M104" i="1" s="1"/>
  <c r="M111" i="1"/>
  <c r="M114" i="1" s="1"/>
  <c r="O21" i="1"/>
  <c r="O79" i="1" s="1"/>
  <c r="O39" i="1"/>
  <c r="O42" i="1" s="1"/>
  <c r="N42" i="1"/>
  <c r="O51" i="1"/>
  <c r="P31" i="1"/>
  <c r="Q31" i="1" s="1"/>
  <c r="O27" i="1"/>
  <c r="O29" i="1" s="1"/>
  <c r="P14" i="1"/>
  <c r="Q16" i="1"/>
  <c r="P6" i="1"/>
  <c r="P36" i="1" s="1"/>
  <c r="Q10" i="1"/>
  <c r="Q23" i="1"/>
  <c r="M83" i="1"/>
  <c r="O87" i="1"/>
  <c r="M93" i="1"/>
  <c r="N89" i="1"/>
  <c r="N90" i="1" s="1"/>
  <c r="N93" i="1" s="1"/>
  <c r="N80" i="1"/>
  <c r="O59" i="1"/>
  <c r="O62" i="1" s="1"/>
  <c r="P68" i="1" l="1"/>
  <c r="P69" i="1" s="1"/>
  <c r="P58" i="1"/>
  <c r="P39" i="1"/>
  <c r="P42" i="1" s="1"/>
  <c r="Q43" i="1" s="1"/>
  <c r="E124" i="1" s="1"/>
  <c r="P77" i="1"/>
  <c r="O110" i="1"/>
  <c r="O100" i="1"/>
  <c r="O108" i="1"/>
  <c r="O111" i="1" s="1"/>
  <c r="O114" i="1" s="1"/>
  <c r="O98" i="1"/>
  <c r="P21" i="1"/>
  <c r="P79" i="1" s="1"/>
  <c r="P27" i="1"/>
  <c r="P29" i="1"/>
  <c r="H124" i="1"/>
  <c r="H129" i="1" s="1"/>
  <c r="P59" i="1"/>
  <c r="P45" i="1"/>
  <c r="P48" i="1" s="1"/>
  <c r="P87" i="1"/>
  <c r="N83" i="1"/>
  <c r="O89" i="1"/>
  <c r="O90" i="1" s="1"/>
  <c r="O80" i="1"/>
  <c r="O83" i="1" s="1"/>
  <c r="Q70" i="1"/>
  <c r="P72" i="1"/>
  <c r="Q73" i="1" s="1"/>
  <c r="E131" i="1" s="1"/>
  <c r="O101" i="1" l="1"/>
  <c r="O104" i="1" s="1"/>
  <c r="Q40" i="1"/>
  <c r="P80" i="1"/>
  <c r="P83" i="1" s="1"/>
  <c r="Q84" i="1" s="1"/>
  <c r="E126" i="1" s="1"/>
  <c r="P89" i="1"/>
  <c r="P90" i="1" s="1"/>
  <c r="P93" i="1" s="1"/>
  <c r="P110" i="1"/>
  <c r="P100" i="1"/>
  <c r="P108" i="1"/>
  <c r="P111" i="1" s="1"/>
  <c r="P98" i="1"/>
  <c r="Q49" i="1"/>
  <c r="P51" i="1"/>
  <c r="Q52" i="1" s="1"/>
  <c r="E130" i="1" s="1"/>
  <c r="G131" i="1" s="1"/>
  <c r="O93" i="1"/>
  <c r="Q60" i="1"/>
  <c r="P62" i="1"/>
  <c r="Q63" i="1" s="1"/>
  <c r="E125" i="1" s="1"/>
  <c r="Q81" i="1" l="1"/>
  <c r="P101" i="1"/>
  <c r="P104" i="1" s="1"/>
  <c r="Q105" i="1" s="1"/>
  <c r="E127" i="1" s="1"/>
  <c r="G127" i="1" s="1"/>
  <c r="Q94" i="1"/>
  <c r="E132" i="1" s="1"/>
  <c r="G132" i="1" s="1"/>
  <c r="Q102" i="1"/>
  <c r="P114" i="1"/>
  <c r="Q115" i="1" s="1"/>
  <c r="E133" i="1" s="1"/>
  <c r="G133" i="1" s="1"/>
  <c r="Q112" i="1"/>
  <c r="Q91" i="1"/>
  <c r="G126" i="1"/>
  <c r="G1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tc={05986617-7AE7-8B43-9D43-56BF9FFC1F58}</author>
    <author>tc={1251BC69-040E-7C4D-987C-0687AEC9791D}</author>
    <author>tc={0A82E18C-8D56-B24D-B85D-EAA922E6E28E}</author>
    <author>tc={502B4386-265F-2544-9CB5-3C01F3B0BC86}</author>
    <author>tc={A92B59E9-BC1E-4F4F-9E6E-25AD9AD912A4}</author>
    <author>tc={9DC17B42-CC05-9544-9C91-17C464363B60}</author>
    <author>tc={3AD0CBC4-9BD8-A844-AAA4-E620E1060E21}</author>
    <author>tc={6458B7D0-AF9F-F44B-A6BA-E851746A5C52}</author>
    <author>tc={9F87A64A-8F9F-8B41-B53D-BAFED2BEB97A}</author>
    <author>tc={59607398-B9DC-584E-BF18-6BADCBEC2DAD}</author>
    <author>tc={CCB54A30-3413-7845-90F4-3FA8BC3ADC46}</author>
    <author>tc={45275D03-5C99-A14C-8173-517ACC2C1022}</author>
    <author>tc={115C98A1-3F26-634B-A012-023FFE43A4A2}</author>
    <author>tc={03C00B67-ADE5-DB4F-8F49-2A0A9F6B81AB}</author>
    <author>tc={6C60A326-32AE-834E-BE94-7BFB6ED84655}</author>
    <author>tc={E4C6F89C-0569-EB41-83B4-0768ED05DE26}</author>
    <author>tc={E881FCE9-4937-9845-8192-E619A3EA8F02}</author>
  </authors>
  <commentList>
    <comment ref="F18" authorId="0" shapeId="0" xr:uid="{05986617-7AE7-8B43-9D43-56BF9FFC1F58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F26" authorId="1" shapeId="0" xr:uid="{1251BC69-040E-7C4D-987C-0687AEC9791D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F35" authorId="2" shapeId="0" xr:uid="{0A82E18C-8D56-B24D-B85D-EAA922E6E28E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P. Henderson for Aug 27, 2025 meeting
Reply:
    Also Sept 2025 ZWC WTE financials
Reply:
    see next tab for details</t>
      </text>
    </comment>
    <comment ref="E41" authorId="3" shapeId="0" xr:uid="{502B4386-265F-2544-9CB5-3C01F3B0BC86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F45" authorId="4" shapeId="0" xr:uid="{A92B59E9-BC1E-4F4F-9E6E-25AD9AD912A4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external landfill costs as well
Reply:
    calculated but total LF op costs /amount of waste inc reserve for closure</t>
      </text>
    </comment>
    <comment ref="F47" authorId="5" shapeId="0" xr:uid="{9DC17B42-CC05-9544-9C91-17C464363B60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E50" authorId="6" shapeId="0" xr:uid="{3AD0CBC4-9BD8-A844-AAA4-E620E1060E21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F66" authorId="7" shapeId="0" xr:uid="{6458B7D0-AF9F-F44B-A6BA-E851746A5C52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F68" authorId="8" shapeId="0" xr:uid="{9F87A64A-8F9F-8B41-B53D-BAFED2BEB97A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F87" authorId="9" shapeId="0" xr:uid="{59607398-B9DC-584E-BF18-6BADCBEC2DAD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F89" authorId="10" shapeId="0" xr:uid="{CCB54A30-3413-7845-90F4-3FA8BC3ADC46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F108" authorId="11" shapeId="0" xr:uid="{45275D03-5C99-A14C-8173-517ACC2C1022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F110" authorId="12" shapeId="0" xr:uid="{115C98A1-3F26-634B-A012-023FFE43A4A2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F126" authorId="13" shapeId="0" xr:uid="{03C00B67-ADE5-DB4F-8F49-2A0A9F6B81AB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F127" authorId="14" shapeId="0" xr:uid="{6C60A326-32AE-834E-BE94-7BFB6ED84655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F132" authorId="15" shapeId="0" xr:uid="{E4C6F89C-0569-EB41-83B4-0768ED05DE26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F133" authorId="16" shapeId="0" xr:uid="{E881FCE9-4937-9845-8192-E619A3EA8F02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tc={43DC8B6D-20F1-A54A-AF9E-D20E4938242C}</author>
    <author>tc={6EEA512C-FB13-0345-81A3-6BF0A5BBA175}</author>
    <author>tc={0DE90EB4-49F0-0E4A-A493-AC15D65C54CC}</author>
    <author>tc={AE94CFA1-7B04-704C-AAA3-B2D3C757ED90}</author>
  </authors>
  <commentList>
    <comment ref="F1" authorId="0" shapeId="0" xr:uid="{43DC8B6D-20F1-A54A-AF9E-D20E4938242C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P. Henderson for Aug 27, 2025 meeting
Reply:
    Also Sept 2025 ZWC WTE financials</t>
      </text>
    </comment>
    <comment ref="H3" authorId="1" shapeId="0" xr:uid="{6EEA512C-FB13-0345-81A3-6BF0A5BBA175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back in $2 M revenue as noted in package from insurance to ensure usual income</t>
      </text>
    </comment>
    <comment ref="K3" authorId="2" shapeId="0" xr:uid="{0DE90EB4-49F0-0E4A-A493-AC15D65C54CC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ZWC agenda Sept 11 2025 p 33</t>
      </text>
    </comment>
    <comment ref="E7" authorId="3" shapeId="0" xr:uid="{AE94CFA1-7B04-704C-AAA3-B2D3C757ED90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</commentList>
</comments>
</file>

<file path=xl/sharedStrings.xml><?xml version="1.0" encoding="utf-8"?>
<sst xmlns="http://schemas.openxmlformats.org/spreadsheetml/2006/main" count="296" uniqueCount="163">
  <si>
    <t>Waste over time</t>
  </si>
  <si>
    <t>Existing</t>
  </si>
  <si>
    <t>% change from 2010 to 2022</t>
  </si>
  <si>
    <t>Annual change</t>
  </si>
  <si>
    <t>Forecast</t>
  </si>
  <si>
    <t>Year</t>
  </si>
  <si>
    <t>Population</t>
  </si>
  <si>
    <t>Info from biennial reports and future from https://metrovancouver.org/boards/RegionalPlanning/RPL-2025-09-11-OT.pdf</t>
  </si>
  <si>
    <t>Waste per capita (t/person)</t>
  </si>
  <si>
    <t>Tonnes to Van LF</t>
  </si>
  <si>
    <t>Tonnes  to External LF</t>
  </si>
  <si>
    <t>Tonnes to private C&amp;D</t>
  </si>
  <si>
    <t>Total waste</t>
  </si>
  <si>
    <t>Status Quo</t>
  </si>
  <si>
    <t>Close incinerator</t>
  </si>
  <si>
    <t>Assumes active ZW actions starting 2027 and status quo til then</t>
  </si>
  <si>
    <t>Active zero waste with closure</t>
  </si>
  <si>
    <t>Costs Status Quo</t>
  </si>
  <si>
    <t>Status quo using Metro Van per tonne numbers for costs</t>
  </si>
  <si>
    <t>MV # 2024 disposal</t>
  </si>
  <si>
    <t>Vancouver Landfill</t>
  </si>
  <si>
    <t>External Landfill</t>
  </si>
  <si>
    <t xml:space="preserve">total disposal operating costs </t>
  </si>
  <si>
    <t>decreases as waste goes down</t>
  </si>
  <si>
    <t>Capital for WTE</t>
  </si>
  <si>
    <t>total disposal and capital costs</t>
  </si>
  <si>
    <t>total  operating cost</t>
  </si>
  <si>
    <t>total cost ops and capital</t>
  </si>
  <si>
    <t>Status quo using Metro Van per budget numbers for costs</t>
  </si>
  <si>
    <t>2022 disposal</t>
  </si>
  <si>
    <t>Close incinerator using Metro Van per budget numbers for costs</t>
  </si>
  <si>
    <t>Close incinerator using Metro Van per tonne numbers for costs</t>
  </si>
  <si>
    <t>permitted level</t>
  </si>
  <si>
    <t>Costs Options</t>
  </si>
  <si>
    <t>ZW + Close incinerator using Metro Van per tonne numbers for costs</t>
  </si>
  <si>
    <t>ZW + Close incinerator using Metro Van per budget numbers for costs</t>
  </si>
  <si>
    <t>for every tonne of waste avoided $171 saved</t>
  </si>
  <si>
    <t>for every tonne of waste avoided $117 saved</t>
  </si>
  <si>
    <t>Then puts $117-171 ROI for every tonne saved</t>
  </si>
  <si>
    <t>Comparison</t>
  </si>
  <si>
    <t>Using MV 2024 #</t>
  </si>
  <si>
    <t>Using 2022 calculated numbers</t>
  </si>
  <si>
    <t>Notes</t>
  </si>
  <si>
    <t>Does not include health benefits from closing the incinerator</t>
  </si>
  <si>
    <t>Does not include the GHG benefits from closing the incinerator</t>
  </si>
  <si>
    <t>Net savings</t>
  </si>
  <si>
    <t>tonnes avoided</t>
  </si>
  <si>
    <t>Does not include closure costs for WTE</t>
  </si>
  <si>
    <t>Does not include additional costs to meet new regulatory requirements</t>
  </si>
  <si>
    <t>Annual % change in waste</t>
  </si>
  <si>
    <t>Does not include capital costs for District Energy ($217M) and biosolids ($23 M)</t>
  </si>
  <si>
    <t>Conclusions</t>
  </si>
  <si>
    <t>Better benefits and savings from pursuing ZW</t>
  </si>
  <si>
    <t>Metro Van had spent at most $4M per year on ZW and so an additional $10 M per year should be able to achieve the target</t>
  </si>
  <si>
    <t>Pursuing ZW means savings for every tonne reduced so incentives are aligned</t>
  </si>
  <si>
    <t>can adjust yellow one to lower level</t>
  </si>
  <si>
    <t>Health and environmental benefits from avoided pollution</t>
  </si>
  <si>
    <t>Does not include addition $110 M that would have been paid back in next 10 years after 2036</t>
  </si>
  <si>
    <t>Adjust formula in case of adjusting H18 too far to ensure correct waste volumes</t>
  </si>
  <si>
    <t>Metro Van per tonne numbers for costs</t>
  </si>
  <si>
    <t>Method</t>
  </si>
  <si>
    <t>Sources</t>
  </si>
  <si>
    <t>2022 -costs</t>
  </si>
  <si>
    <t>2022 waste volumes</t>
  </si>
  <si>
    <t>cost per tonne</t>
  </si>
  <si>
    <t>https://metrovancouver.org/services/solid-waste/Documents/draft-iswrmp-biennial-report-2022.pdf</t>
  </si>
  <si>
    <t>Calculated for all landfill costs (external and VLF) so landfill costs plus contribution to closure in budget ($5M) divided by total waste to Van LF and external LF)</t>
  </si>
  <si>
    <t>operating costs (all landfills so an overestimate for VLF as external LF more expensive)</t>
  </si>
  <si>
    <t>Status quo calculated using Metro Van per budget numbers for costs</t>
  </si>
  <si>
    <t>claims that this includes 13,968 t from outside region -airport and certified destruction</t>
  </si>
  <si>
    <t>Costs and Revenue from Sep 11 2025 ZWC agenda package page 33</t>
  </si>
  <si>
    <t>Total operating costs minus revenue (edivided by total waste (did not include debt servicing costs)</t>
  </si>
  <si>
    <t>2022 electricity revenue</t>
  </si>
  <si>
    <t>2022 metals revenue</t>
  </si>
  <si>
    <t>2022- Net costs</t>
  </si>
  <si>
    <t>RMOW quote $103 in 2020 times 7 years of 2% increase</t>
  </si>
  <si>
    <t>Resort Municipality of Whistler Council package -page 10 of https://pub-rmow.escribemeetings.com/filestream.ashx?DocumentId=5647.</t>
  </si>
  <si>
    <t>From Metro Vancouver slide for August 27, 2025 meeting with ZWBC</t>
  </si>
  <si>
    <t>2024 costs</t>
  </si>
  <si>
    <t>WTE operating only, inc revenue</t>
  </si>
  <si>
    <t>2024- Net costs</t>
  </si>
  <si>
    <t>2024 electricity revenue</t>
  </si>
  <si>
    <t>2024 metals revenue</t>
  </si>
  <si>
    <t>2024 waste volumes</t>
  </si>
  <si>
    <t>Metro Van said $99.  Took MV number and  corrected for usual electricity revenue (and subtracted repair revenue as one time income and covers 2 years to get the usual number). Subtracted the special handle waste increment ($1.6M) as this has not appeared before and this material does not need to go to this facility</t>
  </si>
  <si>
    <t>total operating cost</t>
  </si>
  <si>
    <t>Capital for Incinerator</t>
  </si>
  <si>
    <t>Close Incinerator</t>
  </si>
  <si>
    <t>ZW+ Close Incinerator</t>
  </si>
  <si>
    <t>Investment in ZW</t>
  </si>
  <si>
    <t>WTE operating</t>
  </si>
  <si>
    <t xml:space="preserve">WTE operating </t>
  </si>
  <si>
    <t>Slide below from presentation from Metro Van to ZW coalition Aug 27, 2025</t>
  </si>
  <si>
    <t>Decrease in waste</t>
  </si>
  <si>
    <t>Capital costs</t>
  </si>
  <si>
    <t>$220 M over 20 years</t>
  </si>
  <si>
    <t>$120 M over 20 years</t>
  </si>
  <si>
    <t>Amount to Vancouver Landfill</t>
  </si>
  <si>
    <t>750K tpy</t>
  </si>
  <si>
    <t>700 Ktpy</t>
  </si>
  <si>
    <t>Using MV corrected numbers</t>
  </si>
  <si>
    <t>Closing Incinerator</t>
  </si>
  <si>
    <t>ZW + closing incinerator</t>
  </si>
  <si>
    <t>Using calculated numbers of MV data</t>
  </si>
  <si>
    <t>options</t>
  </si>
  <si>
    <t>Scenario Sensitivity</t>
  </si>
  <si>
    <t>700K tpy</t>
  </si>
  <si>
    <t>External LF costs</t>
  </si>
  <si>
    <t>Description</t>
  </si>
  <si>
    <t>using under max capacity of VLF</t>
  </si>
  <si>
    <t>if avoid $100M acid gas capital + under max at VLF and slower reduction in waste (only 0.8% above historic), plus only 700 K tpy to VLF, $200 external LF tip fee</t>
  </si>
  <si>
    <t>if avoid $100M acid gas capital + under max at VLF and slower reduction in waste (only 0.8% above historic)</t>
  </si>
  <si>
    <t>Highlights</t>
  </si>
  <si>
    <t>Savings from closing the incinerator dependent on capital costs</t>
  </si>
  <si>
    <t>Higher external landfill costs just increase the savings from reducing waste</t>
  </si>
  <si>
    <t>Savings in almost all scenarios, especially the most likely</t>
  </si>
  <si>
    <t>This is with the most conservative options (not all capital costs included, over 20 years, no new ones cropping up)</t>
  </si>
  <si>
    <t>note if goes above 750K, change fomula to send waste externally</t>
  </si>
  <si>
    <t>Tonnes to Incinerator</t>
  </si>
  <si>
    <t>likely would be higher for improved emissions standards, did not include DE nor biosolids capital costs</t>
  </si>
  <si>
    <t>Includes $40M additional maintenance for incinerator but it is likely to be higher than that, especially if the requirements for testing and emissions are updated.</t>
  </si>
  <si>
    <t>To achieve ZW, will need to invest some of the intended savings into staff, programs and partnerships to achieve this -cell F 113</t>
  </si>
  <si>
    <t>Does not include AQ benefits from closing the incinerator</t>
  </si>
  <si>
    <t>Plus avoided risk of carbon tax on incineration updated regulation, pollution harms, breakdown and unforeseen maintenance plus subsequent penalties for energy disruption</t>
  </si>
  <si>
    <t>Plus benefits of ZW for resilience, community building, affordability, jobs</t>
  </si>
  <si>
    <t>Benefit of incentives being aligned (every tonne avoided is money savey as opposed to needing to feed the incinerator) when incinerator is closed</t>
  </si>
  <si>
    <t>Advise shift in how fees paid -some taxes and some tipping fees, also raising tipping fees as incentive over time</t>
  </si>
  <si>
    <t>Closing the incinerator makes financial sense even if not reducing the waste beyond status quo</t>
  </si>
  <si>
    <t>Closing the  incinerator avoids the risks from unexpected service interruption, increasing maintenance costs for aging facility, need to meet increase regulatory standards, owning a stranded asset, litigation regarding pollution, inability to maintain energy provision, carbon priciing, increased natural gas costs, ability to handle drops in waste volumes, ability to source parts</t>
  </si>
  <si>
    <t>ZW noted is pretty modest as savings reached with 5% less waste per year and already had achieved 2.22% less each year despite very limited action and investment from Metro Van.  Still savings with -3% a year. At 5% reduction, still double the per capita target of RDN of 0.109 t/yr by 2027 or CRD of 0.125t/yr</t>
  </si>
  <si>
    <t>Frees up  incinerator land for a central C&amp;D hub</t>
  </si>
  <si>
    <t>Does include contribution to reserve for VLF closure (used financial plan numbers but should review page 74 of https://metrovancouver.org/boards/Finance/FIN_2023-APR-13_AGE.pdf) for 2022 costs</t>
  </si>
  <si>
    <t>Does not include already incurred outstanding capital debts for WTE</t>
  </si>
  <si>
    <t>if use $196 /t for incinerator based on Veolia $245 M contract for 5 yrs with usual amount of waste</t>
  </si>
  <si>
    <t>No time value for money included and costs spread evenly over years</t>
  </si>
  <si>
    <t>Does not include savings from saved LF airspace as those will benefit City of Vancouver but also the region  in general</t>
  </si>
  <si>
    <t>plus another $100 M for additional pollution mitigation</t>
  </si>
  <si>
    <t>$320 M over 20 years</t>
  </si>
  <si>
    <t>10 year total disposal costs</t>
  </si>
  <si>
    <t>(change this to see sensitivity). Note was -2.22% annually over 12 yrs (2010-2022)</t>
  </si>
  <si>
    <t>Savings -numbers below represent savings over ten years of the plan (numbers in brackets represent additional costs)</t>
  </si>
  <si>
    <t>external LF cost is $200/t</t>
  </si>
  <si>
    <t>plus using MV tipping fee numbers of $123/t VLF and incinerator and $230 for external landfill as MV claimed for 2024</t>
  </si>
  <si>
    <t>Active zero waste without closure but need to feed incinerator</t>
  </si>
  <si>
    <t>Active zero waste without closure</t>
  </si>
  <si>
    <t>ZW + not close incinerator</t>
  </si>
  <si>
    <t>ZW + need to feed incinerator, using Metro Van per tonne numbers for costs</t>
  </si>
  <si>
    <t>ZW + need to feed incinerator, using Metro Van per budget numbers for costs</t>
  </si>
  <si>
    <t>GHG benefits (see case study for directional info) -note transportation is a very small component of waste disposal</t>
  </si>
  <si>
    <t>Cannot afford to pursue ZW if not closing the incinerator</t>
  </si>
  <si>
    <t>Oct 9, 2025 ZWC</t>
  </si>
  <si>
    <t>costs</t>
  </si>
  <si>
    <t>tonnes</t>
  </si>
  <si>
    <t>Conservatively  added 2% per year to all costs but note average for 2010-2027 budgets for incinerator was a 5.6% increase each year whereas all LF was 2.1%</t>
  </si>
  <si>
    <t>Savings in Millions of dollars</t>
  </si>
  <si>
    <t>750 Ktpy</t>
  </si>
  <si>
    <t>196$</t>
  </si>
  <si>
    <t>if avoid $100M acid gas capital +  max at VLF</t>
  </si>
  <si>
    <t>if avoid $100M acid gas capital + max at VLF, external costs are $200/tonne</t>
  </si>
  <si>
    <t>ZW + run incinerator</t>
  </si>
  <si>
    <t>Even if double the revenue from electricity sales, still significant savings from closing the incinerator and more from ZW</t>
  </si>
  <si>
    <t>5%%</t>
  </si>
  <si>
    <t>start at 0.4 t/cap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</si>
</sst>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C6E0B4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0" fillId="2" borderId="0" xfId="0" applyFill="1"/>
    <xf numFmtId="0" fontId="0" fillId="3" borderId="0" xfId="0" applyFill="1"/>
    <xf numFmtId="164" fontId="0" fillId="0" borderId="0" xfId="1" applyNumberFormat="1" applyFont="1"/>
    <xf numFmtId="10" fontId="0" fillId="0" borderId="0" xfId="0" applyNumberFormat="1"/>
    <xf numFmtId="165" fontId="0" fillId="0" borderId="0" xfId="0" applyNumberFormat="1"/>
    <xf numFmtId="9" fontId="0" fillId="0" borderId="0" xfId="3" applyFont="1"/>
    <xf numFmtId="10" fontId="0" fillId="0" borderId="0" xfId="3" applyNumberFormat="1" applyFont="1"/>
    <xf numFmtId="43" fontId="0" fillId="0" borderId="0" xfId="0" applyNumberFormat="1"/>
    <xf numFmtId="0" fontId="0" fillId="4" borderId="0" xfId="0" applyFill="1"/>
    <xf numFmtId="3" fontId="0" fillId="0" borderId="0" xfId="0" applyNumberFormat="1"/>
    <xf numFmtId="0" fontId="0" fillId="5" borderId="0" xfId="0" applyFill="1"/>
    <xf numFmtId="164" fontId="0" fillId="0" borderId="0" xfId="0" applyNumberFormat="1"/>
    <xf numFmtId="164" fontId="0" fillId="6" borderId="0" xfId="0" applyNumberFormat="1" applyFill="1"/>
    <xf numFmtId="0" fontId="0" fillId="7" borderId="0" xfId="0" applyFill="1"/>
    <xf numFmtId="0" fontId="2" fillId="0" borderId="0" xfId="0" applyFont="1"/>
    <xf numFmtId="0" fontId="2" fillId="0" borderId="1" xfId="0" applyFont="1" applyBorder="1"/>
    <xf numFmtId="165" fontId="0" fillId="0" borderId="1" xfId="0" applyNumberFormat="1" applyBorder="1"/>
    <xf numFmtId="9" fontId="0" fillId="0" borderId="1" xfId="3" applyFont="1" applyBorder="1"/>
    <xf numFmtId="10" fontId="0" fillId="0" borderId="1" xfId="3" applyNumberFormat="1" applyFont="1" applyBorder="1"/>
    <xf numFmtId="43" fontId="0" fillId="0" borderId="1" xfId="0" applyNumberFormat="1" applyBorder="1"/>
    <xf numFmtId="0" fontId="0" fillId="0" borderId="1" xfId="0" applyBorder="1"/>
    <xf numFmtId="0" fontId="4" fillId="0" borderId="0" xfId="0" applyFont="1"/>
    <xf numFmtId="0" fontId="5" fillId="0" borderId="0" xfId="0" applyFont="1"/>
    <xf numFmtId="166" fontId="5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5" fillId="0" borderId="0" xfId="2" applyNumberFormat="1" applyFont="1"/>
    <xf numFmtId="166" fontId="2" fillId="0" borderId="0" xfId="0" applyNumberFormat="1" applyFont="1"/>
    <xf numFmtId="166" fontId="0" fillId="0" borderId="0" xfId="2" applyNumberFormat="1" applyFont="1"/>
    <xf numFmtId="3" fontId="0" fillId="8" borderId="0" xfId="0" applyNumberFormat="1" applyFill="1"/>
    <xf numFmtId="166" fontId="5" fillId="8" borderId="0" xfId="0" applyNumberFormat="1" applyFont="1" applyFill="1"/>
    <xf numFmtId="0" fontId="5" fillId="9" borderId="0" xfId="0" applyFont="1" applyFill="1"/>
    <xf numFmtId="0" fontId="0" fillId="10" borderId="0" xfId="0" applyFill="1"/>
    <xf numFmtId="3" fontId="0" fillId="10" borderId="0" xfId="0" applyNumberFormat="1" applyFill="1"/>
    <xf numFmtId="166" fontId="5" fillId="8" borderId="0" xfId="2" applyNumberFormat="1" applyFont="1" applyFill="1"/>
    <xf numFmtId="0" fontId="4" fillId="11" borderId="0" xfId="0" applyFont="1" applyFill="1"/>
    <xf numFmtId="10" fontId="0" fillId="12" borderId="0" xfId="3" applyNumberFormat="1" applyFont="1" applyFill="1"/>
    <xf numFmtId="0" fontId="0" fillId="0" borderId="0" xfId="0" applyAlignment="1">
      <alignment wrapText="1"/>
    </xf>
    <xf numFmtId="44" fontId="0" fillId="0" borderId="0" xfId="2" applyFont="1"/>
    <xf numFmtId="164" fontId="5" fillId="0" borderId="0" xfId="0" applyNumberFormat="1" applyFont="1"/>
    <xf numFmtId="166" fontId="0" fillId="0" borderId="0" xfId="2" applyNumberFormat="1" applyFont="1" applyFill="1"/>
    <xf numFmtId="166" fontId="0" fillId="3" borderId="0" xfId="0" applyNumberFormat="1" applyFill="1"/>
    <xf numFmtId="0" fontId="0" fillId="0" borderId="2" xfId="0" applyBorder="1"/>
    <xf numFmtId="0" fontId="0" fillId="0" borderId="3" xfId="0" applyBorder="1"/>
    <xf numFmtId="9" fontId="0" fillId="8" borderId="3" xfId="3" applyFont="1" applyFill="1" applyBorder="1"/>
    <xf numFmtId="0" fontId="2" fillId="0" borderId="0" xfId="0" applyFont="1" applyAlignment="1">
      <alignment wrapText="1"/>
    </xf>
    <xf numFmtId="0" fontId="2" fillId="3" borderId="0" xfId="0" applyFont="1" applyFill="1"/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left" wrapText="1"/>
    </xf>
    <xf numFmtId="0" fontId="4" fillId="0" borderId="2" xfId="0" applyFont="1" applyBorder="1"/>
    <xf numFmtId="3" fontId="0" fillId="0" borderId="2" xfId="0" applyNumberFormat="1" applyBorder="1"/>
    <xf numFmtId="166" fontId="0" fillId="8" borderId="0" xfId="0" applyNumberFormat="1" applyFill="1"/>
    <xf numFmtId="44" fontId="0" fillId="0" borderId="0" xfId="0" applyNumberFormat="1"/>
    <xf numFmtId="0" fontId="5" fillId="13" borderId="0" xfId="0" applyFont="1" applyFill="1"/>
    <xf numFmtId="0" fontId="5" fillId="14" borderId="0" xfId="0" applyFont="1" applyFill="1" applyAlignment="1">
      <alignment horizontal="left" vertical="center"/>
    </xf>
    <xf numFmtId="0" fontId="4" fillId="14" borderId="0" xfId="0" applyFont="1" applyFill="1" applyAlignment="1">
      <alignment horizontal="left"/>
    </xf>
    <xf numFmtId="9" fontId="5" fillId="14" borderId="0" xfId="0" applyNumberFormat="1" applyFont="1" applyFill="1" applyAlignment="1">
      <alignment horizontal="left"/>
    </xf>
    <xf numFmtId="0" fontId="5" fillId="14" borderId="0" xfId="0" applyFont="1" applyFill="1" applyAlignment="1">
      <alignment horizontal="left"/>
    </xf>
    <xf numFmtId="6" fontId="5" fillId="14" borderId="0" xfId="0" applyNumberFormat="1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/>
    <xf numFmtId="166" fontId="5" fillId="0" borderId="2" xfId="0" applyNumberFormat="1" applyFont="1" applyBorder="1"/>
    <xf numFmtId="0" fontId="5" fillId="14" borderId="0" xfId="0" applyFont="1" applyFill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21</xdr:row>
      <xdr:rowOff>25400</xdr:rowOff>
    </xdr:from>
    <xdr:to>
      <xdr:col>7</xdr:col>
      <xdr:colOff>1028700</xdr:colOff>
      <xdr:row>50</xdr:row>
      <xdr:rowOff>126418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133281-0D9A-91E0-1AEE-F0AF3CE3F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6921500"/>
          <a:ext cx="7772400" cy="59938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ue Maxwell" id="{52703BC0-3719-0C49-8300-64D33AC31EF8}" userId="Sue Maxwell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8" dT="2025-09-29T23:47:33.74" personId="{52703BC0-3719-0C49-8300-64D33AC31EF8}" id="{05986617-7AE7-8B43-9D43-56BF9FFC1F58}">
    <text>adjust in cell F 109</text>
  </threadedComment>
  <threadedComment ref="F26" dT="2025-09-29T23:47:33.74" personId="{52703BC0-3719-0C49-8300-64D33AC31EF8}" id="{1251BC69-040E-7C4D-987C-0687AEC9791D}">
    <text>adjust in cell F 109</text>
  </threadedComment>
  <threadedComment ref="F35" dT="2025-09-26T22:23:34.10" personId="{52703BC0-3719-0C49-8300-64D33AC31EF8}" id="{0A82E18C-8D56-B24D-B85D-EAA922E6E28E}">
    <text>Data from P. Henderson for Aug 27, 2025 meeting</text>
  </threadedComment>
  <threadedComment ref="F35" dT="2025-09-26T22:34:22.78" personId="{52703BC0-3719-0C49-8300-64D33AC31EF8}" id="{243F175E-46BF-9C4C-A08E-3907FBDC60E7}" parentId="{0A82E18C-8D56-B24D-B85D-EAA922E6E28E}">
    <text>Also Sept 2025 ZWC WTE financials</text>
  </threadedComment>
  <threadedComment ref="F35" dT="2025-09-30T00:56:45.43" personId="{52703BC0-3719-0C49-8300-64D33AC31EF8}" id="{06041CD9-56E6-584C-AD8A-4CEBA1FE668C}" parentId="{0A82E18C-8D56-B24D-B85D-EAA922E6E28E}">
    <text>see next tab for details</text>
  </threadedComment>
  <threadedComment ref="E41" dT="2025-09-26T21:44:59.44" personId="{52703BC0-3719-0C49-8300-64D33AC31EF8}" id="{502B4386-265F-2544-9CB5-3C01F3B0BC86}">
    <text>$100M acid gas, $80 M maintenance known, $40 M maintenance future, did not include DE nor biosolids, spread over 20 years, no interest</text>
  </threadedComment>
  <threadedComment ref="F45" dT="2025-09-26T21:56:59.18" personId="{52703BC0-3719-0C49-8300-64D33AC31EF8}" id="{A92B59E9-BC1E-4F4F-9E6E-25AD9AD912A4}">
    <text>an overestimate as includes external landfill costs as well</text>
  </threadedComment>
  <threadedComment ref="F45" dT="2025-09-26T22:00:37.25" personId="{52703BC0-3719-0C49-8300-64D33AC31EF8}" id="{1C57D7A0-F9B3-894B-8431-8D736D08C35A}" parentId="{A92B59E9-BC1E-4F4F-9E6E-25AD9AD912A4}">
    <text>calculated but total LF op costs /amount of waste inc reserve for closure</text>
  </threadedComment>
  <threadedComment ref="F47" dT="2025-09-26T21:54:08.86" personId="{52703BC0-3719-0C49-8300-64D33AC31EF8}" id="{9DC17B42-CC05-9544-9C91-17C464363B60}">
    <text>RMOW quote $103 in 2020 times 7 years of 2% increase</text>
  </threadedComment>
  <threadedComment ref="E50" dT="2025-09-26T21:44:59.44" personId="{52703BC0-3719-0C49-8300-64D33AC31EF8}" id="{3AD0CBC4-9BD8-A844-AAA4-E620E1060E21}">
    <text>$100M acid gas, $80 M maintenance known, $40 M maintenance future, did not include DE nor biosolids, spread over 20 years, no interest</text>
  </threadedComment>
  <threadedComment ref="F66" dT="2025-09-26T21:56:59.18" personId="{52703BC0-3719-0C49-8300-64D33AC31EF8}" id="{6458B7D0-AF9F-F44B-A6BA-E851746A5C52}">
    <text>an overestimate as includes eternal landfill costs as well</text>
  </threadedComment>
  <threadedComment ref="F66" dT="2025-09-26T22:00:37.25" personId="{52703BC0-3719-0C49-8300-64D33AC31EF8}" id="{074DEFC1-B7AF-E544-AFD9-26F45FE250B7}" parentId="{6458B7D0-AF9F-F44B-A6BA-E851746A5C52}">
    <text>calculated but total LF op costs /amount of waste inc reserve for closure</text>
  </threadedComment>
  <threadedComment ref="F68" dT="2025-09-26T21:54:08.86" personId="{52703BC0-3719-0C49-8300-64D33AC31EF8}" id="{9F87A64A-8F9F-8B41-B53D-BAFED2BEB97A}">
    <text>RMOW quote $103 in 2020 times 7 years of 2% increase</text>
  </threadedComment>
  <threadedComment ref="F87" dT="2025-09-26T21:56:59.18" personId="{52703BC0-3719-0C49-8300-64D33AC31EF8}" id="{59607398-B9DC-584E-BF18-6BADCBEC2DAD}">
    <text>an overestimate as includes eternal landfill costs as well</text>
  </threadedComment>
  <threadedComment ref="F87" dT="2025-09-26T22:00:37.25" personId="{52703BC0-3719-0C49-8300-64D33AC31EF8}" id="{AA5DD78C-A194-9448-935F-048AD27C6297}" parentId="{59607398-B9DC-584E-BF18-6BADCBEC2DAD}">
    <text>calculated but total LF op costs /amount of waste inc reserve for closure</text>
  </threadedComment>
  <threadedComment ref="F89" dT="2025-09-26T21:54:08.86" personId="{52703BC0-3719-0C49-8300-64D33AC31EF8}" id="{CCB54A30-3413-7845-90F4-3FA8BC3ADC46}">
    <text>RMOW quote $103 in 2020 times 7 years of 2% increase</text>
  </threadedComment>
  <threadedComment ref="F108" dT="2025-09-26T21:56:59.18" personId="{52703BC0-3719-0C49-8300-64D33AC31EF8}" id="{45275D03-5C99-A14C-8173-517ACC2C1022}">
    <text>an overestimate as includes eternal landfill costs as well</text>
  </threadedComment>
  <threadedComment ref="F108" dT="2025-09-26T22:00:37.25" personId="{52703BC0-3719-0C49-8300-64D33AC31EF8}" id="{38C9EB99-7387-434E-80FA-3134710E383F}" parentId="{45275D03-5C99-A14C-8173-517ACC2C1022}">
    <text>calculated but total LF op costs /amount of waste inc reserve for closure</text>
  </threadedComment>
  <threadedComment ref="F110" dT="2025-09-26T21:54:08.86" personId="{52703BC0-3719-0C49-8300-64D33AC31EF8}" id="{115C98A1-3F26-634B-A012-023FFE43A4A2}">
    <text>RMOW quote $103 in 2020 times 7 years of 2% increase</text>
  </threadedComment>
  <threadedComment ref="F126" dT="2025-09-26T23:07:47.86" personId="{52703BC0-3719-0C49-8300-64D33AC31EF8}" id="{03C00B67-ADE5-DB4F-8F49-2A0A9F6B81AB}">
    <text>$10M per year on ZW initiatives</text>
  </threadedComment>
  <threadedComment ref="F127" dT="2025-09-26T23:07:47.86" personId="{52703BC0-3719-0C49-8300-64D33AC31EF8}" id="{6C60A326-32AE-834E-BE94-7BFB6ED84655}">
    <text>$10M per year on ZW initiatives</text>
  </threadedComment>
  <threadedComment ref="F132" dT="2025-09-26T23:07:47.86" personId="{52703BC0-3719-0C49-8300-64D33AC31EF8}" id="{E4C6F89C-0569-EB41-83B4-0768ED05DE26}">
    <text>$10M per year on ZW initiatives</text>
  </threadedComment>
  <threadedComment ref="F133" dT="2025-09-26T23:07:47.86" personId="{52703BC0-3719-0C49-8300-64D33AC31EF8}" id="{E881FCE9-4937-9845-8192-E619A3EA8F02}">
    <text>$10M per year on ZW initiatives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" dT="2025-09-26T22:23:34.10" personId="{52703BC0-3719-0C49-8300-64D33AC31EF8}" id="{43DC8B6D-20F1-A54A-AF9E-D20E4938242C}">
    <text>Data from P. Henderson for Aug 27, 2025 meeting</text>
  </threadedComment>
  <threadedComment ref="F1" dT="2025-09-26T22:34:22.78" personId="{52703BC0-3719-0C49-8300-64D33AC31EF8}" id="{EE01A8BF-DB96-8C40-BABA-3E9B946052FC}" parentId="{43DC8B6D-20F1-A54A-AF9E-D20E4938242C}">
    <text>Also Sept 2025 ZWC WTE financials</text>
  </threadedComment>
  <threadedComment ref="H3" dT="2025-09-30T00:53:44.92" personId="{52703BC0-3719-0C49-8300-64D33AC31EF8}" id="{6EEA512C-FB13-0345-81A3-6BF0A5BBA175}">
    <text>added back in $2 M revenue as noted in package from insurance to ensure usual income</text>
  </threadedComment>
  <threadedComment ref="K3" dT="2025-09-09T23:24:30.92" personId="{52703BC0-3719-0C49-8300-64D33AC31EF8}" id="{0DE90EB4-49F0-0E4A-A493-AC15D65C54CC}">
    <text>from ZWC agenda Sept 11 2025 p 33</text>
  </threadedComment>
  <threadedComment ref="E7" dT="2025-09-26T21:44:59.44" personId="{52703BC0-3719-0C49-8300-64D33AC31EF8}" id="{AE94CFA1-7B04-704C-AAA3-B2D3C757ED90}">
    <text>$100M acid gas, $80 M maintenance known, $40 M maintenance future, did not include DE nor biosolids, spread over 20 years, no interest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495E-2458-094B-B50E-8C802C745249}">
  <dimension ref="A1:R166"/>
  <sheetViews>
    <sheetView tabSelected="1" workbookViewId="0">
      <pane xSplit="1" ySplit="2" topLeftCell="C103" activePane="bottomRight" state="frozen"/>
      <selection pane="topRight" activeCell="B1" sqref="B1"/>
      <selection pane="bottomLeft" activeCell="A3" sqref="A3"/>
      <selection pane="bottomRight" activeCell="F39" sqref="F39"/>
    </sheetView>
  </sheetViews>
  <sheetFormatPr baseColWidth="10" defaultRowHeight="16" x14ac:dyDescent="0.2"/>
  <cols>
    <col min="1" max="1" width="40.33203125" customWidth="1"/>
    <col min="2" max="2" width="13" customWidth="1"/>
    <col min="5" max="5" width="16" bestFit="1" customWidth="1"/>
    <col min="6" max="6" width="15.83203125" customWidth="1"/>
    <col min="7" max="16" width="14.6640625" customWidth="1"/>
    <col min="17" max="17" width="14" customWidth="1"/>
  </cols>
  <sheetData>
    <row r="1" spans="1:18" x14ac:dyDescent="0.2">
      <c r="A1" s="1" t="s">
        <v>0</v>
      </c>
      <c r="B1" s="2" t="s">
        <v>1</v>
      </c>
      <c r="C1" s="2"/>
      <c r="D1" s="2"/>
      <c r="E1" t="s">
        <v>2</v>
      </c>
      <c r="F1" s="2" t="s">
        <v>3</v>
      </c>
      <c r="G1" s="3" t="s">
        <v>4</v>
      </c>
      <c r="H1" s="3"/>
      <c r="I1" s="3"/>
      <c r="J1" s="3"/>
      <c r="K1" s="3"/>
      <c r="L1" s="3"/>
      <c r="M1" s="3"/>
      <c r="N1" s="3"/>
      <c r="O1" s="3"/>
      <c r="P1" s="3"/>
    </row>
    <row r="2" spans="1:18" s="16" customFormat="1" x14ac:dyDescent="0.2">
      <c r="A2" s="16" t="s">
        <v>5</v>
      </c>
      <c r="B2" s="16">
        <v>2010</v>
      </c>
      <c r="C2" s="16">
        <v>2020</v>
      </c>
      <c r="D2" s="16">
        <v>2022</v>
      </c>
      <c r="G2" s="16">
        <v>2027</v>
      </c>
      <c r="H2" s="16">
        <f>G2+1</f>
        <v>2028</v>
      </c>
      <c r="I2" s="16">
        <f t="shared" ref="I2:O2" si="0">H2+1</f>
        <v>2029</v>
      </c>
      <c r="J2" s="16">
        <f t="shared" si="0"/>
        <v>2030</v>
      </c>
      <c r="K2" s="16">
        <f t="shared" si="0"/>
        <v>2031</v>
      </c>
      <c r="L2" s="16">
        <f t="shared" si="0"/>
        <v>2032</v>
      </c>
      <c r="M2" s="16">
        <f t="shared" si="0"/>
        <v>2033</v>
      </c>
      <c r="N2" s="16">
        <f t="shared" si="0"/>
        <v>2034</v>
      </c>
      <c r="O2" s="16">
        <f t="shared" si="0"/>
        <v>2035</v>
      </c>
      <c r="P2" s="16">
        <f>O2+1</f>
        <v>2036</v>
      </c>
    </row>
    <row r="3" spans="1:18" x14ac:dyDescent="0.2">
      <c r="A3" t="s">
        <v>6</v>
      </c>
      <c r="B3" s="4">
        <v>2351496</v>
      </c>
      <c r="C3" s="4">
        <v>2766953</v>
      </c>
      <c r="D3" s="4">
        <v>2854375</v>
      </c>
      <c r="F3" s="5"/>
      <c r="G3" s="4">
        <f>3124079+3*42500</f>
        <v>3251579</v>
      </c>
      <c r="H3" s="4">
        <f>G3+42500</f>
        <v>3294079</v>
      </c>
      <c r="I3" s="4">
        <f t="shared" ref="H3:P3" si="1">H3+42500</f>
        <v>3336579</v>
      </c>
      <c r="J3" s="4">
        <f t="shared" si="1"/>
        <v>3379079</v>
      </c>
      <c r="K3" s="4">
        <f t="shared" si="1"/>
        <v>3421579</v>
      </c>
      <c r="L3" s="4">
        <f t="shared" si="1"/>
        <v>3464079</v>
      </c>
      <c r="M3" s="4">
        <f t="shared" si="1"/>
        <v>3506579</v>
      </c>
      <c r="N3" s="4">
        <f t="shared" si="1"/>
        <v>3549079</v>
      </c>
      <c r="O3" s="4">
        <f t="shared" si="1"/>
        <v>3591579</v>
      </c>
      <c r="P3" s="4">
        <f t="shared" si="1"/>
        <v>3634079</v>
      </c>
      <c r="Q3" t="s">
        <v>7</v>
      </c>
    </row>
    <row r="4" spans="1:18" ht="19" customHeight="1" x14ac:dyDescent="0.2">
      <c r="A4" t="s">
        <v>8</v>
      </c>
      <c r="B4" s="6">
        <f>B10/B3</f>
        <v>0.60131933033269036</v>
      </c>
      <c r="C4" s="6">
        <f>C10/C3</f>
        <v>0.45757553525484529</v>
      </c>
      <c r="D4" s="6">
        <f>D10/D3</f>
        <v>0.44091964090212393</v>
      </c>
      <c r="E4" s="7">
        <f t="shared" ref="E4" si="2">D4/B4-1</f>
        <v>-0.26674627163876885</v>
      </c>
      <c r="F4" s="8">
        <f t="shared" ref="F4" si="3">E4/12</f>
        <v>-2.2228855969897404E-2</v>
      </c>
      <c r="G4" s="9">
        <f>D4+(5*F4)</f>
        <v>0.32977536105263694</v>
      </c>
      <c r="H4" s="9">
        <f>G4*(1+$F$4)</f>
        <v>0.32244483204937696</v>
      </c>
      <c r="I4" s="9">
        <f t="shared" ref="I4:P4" si="4">H4*(1+$F$4)</f>
        <v>0.31527725231951359</v>
      </c>
      <c r="J4" s="9">
        <f t="shared" si="4"/>
        <v>0.30826899968711813</v>
      </c>
      <c r="K4" s="9">
        <f t="shared" si="4"/>
        <v>0.30141653249308881</v>
      </c>
      <c r="L4" s="9">
        <f t="shared" si="4"/>
        <v>0.29471638780535403</v>
      </c>
      <c r="M4" s="9">
        <f t="shared" si="4"/>
        <v>0.28816517966886041</v>
      </c>
      <c r="N4" s="9">
        <f t="shared" si="4"/>
        <v>0.28175959739446171</v>
      </c>
      <c r="O4" s="9">
        <f t="shared" si="4"/>
        <v>0.27549640388584395</v>
      </c>
      <c r="P4" s="9">
        <f t="shared" si="4"/>
        <v>0.26937243400364086</v>
      </c>
    </row>
    <row r="5" spans="1:18" s="22" customFormat="1" ht="17" customHeight="1" x14ac:dyDescent="0.2">
      <c r="A5" s="17" t="s">
        <v>13</v>
      </c>
      <c r="B5" s="18"/>
      <c r="C5" s="18"/>
      <c r="D5" s="18"/>
      <c r="E5" s="19"/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8" x14ac:dyDescent="0.2">
      <c r="A6" s="10" t="s">
        <v>9</v>
      </c>
      <c r="B6" s="4">
        <v>567817</v>
      </c>
      <c r="C6" s="4">
        <f>615596+44138</f>
        <v>659734</v>
      </c>
      <c r="D6" s="4">
        <v>691083</v>
      </c>
      <c r="E6" s="7">
        <f>D6/B6-1</f>
        <v>0.21708754757254534</v>
      </c>
      <c r="F6" s="8">
        <f>E6/12</f>
        <v>1.8090628964378779E-2</v>
      </c>
      <c r="G6" s="11">
        <f>G10-G9-G7</f>
        <v>652290.63871617219</v>
      </c>
      <c r="H6" s="11">
        <f>H10-H7-H9</f>
        <v>642158.74991237954</v>
      </c>
      <c r="I6" s="11">
        <f t="shared" ref="I6:P6" si="5">I10-I7-I9</f>
        <v>631947.45926699042</v>
      </c>
      <c r="J6" s="11">
        <f t="shared" si="5"/>
        <v>621665.30319374742</v>
      </c>
      <c r="K6" s="11">
        <f t="shared" si="5"/>
        <v>611320.47783117031</v>
      </c>
      <c r="L6" s="11">
        <f t="shared" si="5"/>
        <v>600920.84995238297</v>
      </c>
      <c r="M6" s="11">
        <f t="shared" si="5"/>
        <v>590473.96755805286</v>
      </c>
      <c r="N6" s="11">
        <f t="shared" si="5"/>
        <v>579987.07016113878</v>
      </c>
      <c r="O6" s="11">
        <f t="shared" si="5"/>
        <v>569467.09877191554</v>
      </c>
      <c r="P6" s="11">
        <f t="shared" si="5"/>
        <v>558920.70559151715</v>
      </c>
    </row>
    <row r="7" spans="1:18" x14ac:dyDescent="0.2">
      <c r="A7" s="10" t="s">
        <v>118</v>
      </c>
      <c r="B7" s="4">
        <v>284468</v>
      </c>
      <c r="C7" s="4">
        <v>244362</v>
      </c>
      <c r="D7" s="4">
        <v>233051</v>
      </c>
      <c r="E7" s="7">
        <f t="shared" ref="E7:E10" si="6">D7/B7-1</f>
        <v>-0.18074792243767313</v>
      </c>
      <c r="F7" s="8">
        <f t="shared" ref="F7:F10" si="7">E7/12</f>
        <v>-1.5062326869806094E-2</v>
      </c>
      <c r="G7" s="11">
        <v>250000</v>
      </c>
      <c r="H7" s="11">
        <f>$G$7</f>
        <v>250000</v>
      </c>
      <c r="I7" s="11">
        <f t="shared" ref="I7:P7" si="8">$G$7</f>
        <v>250000</v>
      </c>
      <c r="J7" s="11">
        <f t="shared" si="8"/>
        <v>250000</v>
      </c>
      <c r="K7" s="11">
        <f t="shared" si="8"/>
        <v>250000</v>
      </c>
      <c r="L7" s="11">
        <f t="shared" si="8"/>
        <v>250000</v>
      </c>
      <c r="M7" s="11">
        <f t="shared" si="8"/>
        <v>250000</v>
      </c>
      <c r="N7" s="11">
        <f t="shared" si="8"/>
        <v>250000</v>
      </c>
      <c r="O7" s="11">
        <f t="shared" si="8"/>
        <v>250000</v>
      </c>
      <c r="P7" s="11">
        <f t="shared" si="8"/>
        <v>250000</v>
      </c>
      <c r="Q7" t="s">
        <v>32</v>
      </c>
    </row>
    <row r="8" spans="1:18" x14ac:dyDescent="0.2">
      <c r="A8" s="10" t="s">
        <v>10</v>
      </c>
      <c r="B8" s="4">
        <f>396384</f>
        <v>396384</v>
      </c>
      <c r="C8" s="4">
        <f>35340</f>
        <v>35340</v>
      </c>
      <c r="D8" s="4">
        <f>144603</f>
        <v>144603</v>
      </c>
      <c r="E8" s="7">
        <f t="shared" si="6"/>
        <v>-0.6351946597239041</v>
      </c>
      <c r="F8" s="8">
        <f t="shared" si="7"/>
        <v>-5.2932888310325339E-2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</row>
    <row r="9" spans="1:18" x14ac:dyDescent="0.2">
      <c r="A9" s="15" t="s">
        <v>11</v>
      </c>
      <c r="B9" s="4">
        <v>165331</v>
      </c>
      <c r="C9" s="4">
        <v>326654</v>
      </c>
      <c r="D9" s="4">
        <v>189813</v>
      </c>
      <c r="E9" s="7">
        <f>D9/B9-1</f>
        <v>0.14807870272362722</v>
      </c>
      <c r="F9" s="8">
        <f>E9/12</f>
        <v>1.2339891893635602E-2</v>
      </c>
      <c r="G9" s="11">
        <v>170000</v>
      </c>
      <c r="H9" s="11">
        <v>170000</v>
      </c>
      <c r="I9" s="11">
        <v>170000</v>
      </c>
      <c r="J9" s="11">
        <v>170000</v>
      </c>
      <c r="K9" s="11">
        <v>170000</v>
      </c>
      <c r="L9" s="11">
        <v>170000</v>
      </c>
      <c r="M9" s="11">
        <v>170000</v>
      </c>
      <c r="N9" s="11">
        <v>170000</v>
      </c>
      <c r="O9" s="11">
        <v>170000</v>
      </c>
      <c r="P9" s="11">
        <v>170000</v>
      </c>
    </row>
    <row r="10" spans="1:18" x14ac:dyDescent="0.2">
      <c r="A10" t="s">
        <v>12</v>
      </c>
      <c r="B10" s="4">
        <f>SUM(B6:B9)</f>
        <v>1414000</v>
      </c>
      <c r="C10" s="4">
        <f t="shared" ref="C10:D10" si="9">SUM(C6:C9)</f>
        <v>1266090</v>
      </c>
      <c r="D10" s="4">
        <f t="shared" si="9"/>
        <v>1258550</v>
      </c>
      <c r="E10" s="7">
        <f t="shared" si="6"/>
        <v>-0.10993635077793495</v>
      </c>
      <c r="F10" s="8">
        <f t="shared" si="7"/>
        <v>-9.1613625648279129E-3</v>
      </c>
      <c r="G10" s="4">
        <f>G3*G4</f>
        <v>1072290.6387161722</v>
      </c>
      <c r="H10" s="4">
        <f t="shared" ref="H10:P10" si="10">H3*H4</f>
        <v>1062158.7499123795</v>
      </c>
      <c r="I10" s="4">
        <f t="shared" si="10"/>
        <v>1051947.4592669904</v>
      </c>
      <c r="J10" s="4">
        <f t="shared" si="10"/>
        <v>1041665.3031937474</v>
      </c>
      <c r="K10" s="4">
        <f t="shared" si="10"/>
        <v>1031320.4778311703</v>
      </c>
      <c r="L10" s="4">
        <f t="shared" si="10"/>
        <v>1020920.849952383</v>
      </c>
      <c r="M10" s="4">
        <f t="shared" si="10"/>
        <v>1010473.9675580529</v>
      </c>
      <c r="N10" s="4">
        <f t="shared" si="10"/>
        <v>999987.07016113878</v>
      </c>
      <c r="O10" s="4">
        <f t="shared" si="10"/>
        <v>989467.09877191554</v>
      </c>
      <c r="P10" s="4">
        <f t="shared" si="10"/>
        <v>978920.70559151715</v>
      </c>
      <c r="Q10" s="13">
        <f>SUM(G10:P10)</f>
        <v>10259152.320955466</v>
      </c>
    </row>
    <row r="11" spans="1:18" s="22" customFormat="1" ht="17" customHeight="1" x14ac:dyDescent="0.2">
      <c r="A11" s="17" t="s">
        <v>14</v>
      </c>
      <c r="B11" s="18"/>
      <c r="C11" s="18"/>
      <c r="D11" s="18"/>
      <c r="E11" s="19"/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8" x14ac:dyDescent="0.2">
      <c r="A12" s="10" t="s">
        <v>9</v>
      </c>
      <c r="B12" s="4">
        <v>567817</v>
      </c>
      <c r="C12" s="4">
        <f>615596+44138</f>
        <v>659734</v>
      </c>
      <c r="D12" s="4">
        <v>691083</v>
      </c>
      <c r="E12" s="7">
        <f>D12/B12-1</f>
        <v>0.21708754757254534</v>
      </c>
      <c r="F12" s="8"/>
      <c r="G12" s="11">
        <f>G16-G15-G13</f>
        <v>652290.63871617219</v>
      </c>
      <c r="H12" s="31">
        <v>750000</v>
      </c>
      <c r="I12" s="11">
        <f t="shared" ref="I12:P12" si="11">H12</f>
        <v>750000</v>
      </c>
      <c r="J12" s="11">
        <f t="shared" si="11"/>
        <v>750000</v>
      </c>
      <c r="K12" s="11">
        <f t="shared" si="11"/>
        <v>750000</v>
      </c>
      <c r="L12" s="11">
        <f t="shared" si="11"/>
        <v>750000</v>
      </c>
      <c r="M12" s="11">
        <f t="shared" si="11"/>
        <v>750000</v>
      </c>
      <c r="N12" s="11">
        <f t="shared" si="11"/>
        <v>750000</v>
      </c>
      <c r="O12" s="11">
        <f t="shared" si="11"/>
        <v>750000</v>
      </c>
      <c r="P12" s="11">
        <f t="shared" si="11"/>
        <v>750000</v>
      </c>
      <c r="Q12" t="s">
        <v>32</v>
      </c>
      <c r="R12" t="s">
        <v>55</v>
      </c>
    </row>
    <row r="13" spans="1:18" x14ac:dyDescent="0.2">
      <c r="A13" s="10" t="s">
        <v>118</v>
      </c>
      <c r="B13" s="4">
        <v>284468</v>
      </c>
      <c r="C13" s="4">
        <v>244362</v>
      </c>
      <c r="D13" s="4">
        <v>233051</v>
      </c>
      <c r="E13" s="7">
        <f t="shared" ref="E13:E14" si="12">D13/B13-1</f>
        <v>-0.18074792243767313</v>
      </c>
      <c r="F13" s="8"/>
      <c r="G13" s="11">
        <v>250000</v>
      </c>
      <c r="H13" s="12"/>
      <c r="I13" s="12"/>
      <c r="J13" s="12"/>
      <c r="K13" s="12"/>
      <c r="L13" s="12"/>
      <c r="M13" s="12"/>
      <c r="N13" s="12"/>
      <c r="O13" s="12"/>
      <c r="P13" s="12"/>
    </row>
    <row r="14" spans="1:18" x14ac:dyDescent="0.2">
      <c r="A14" s="10" t="s">
        <v>10</v>
      </c>
      <c r="B14" s="4">
        <f>396384</f>
        <v>396384</v>
      </c>
      <c r="C14" s="4">
        <f>35340</f>
        <v>35340</v>
      </c>
      <c r="D14" s="4">
        <f>144603</f>
        <v>144603</v>
      </c>
      <c r="E14" s="7">
        <f t="shared" si="12"/>
        <v>-0.6351946597239041</v>
      </c>
      <c r="F14" s="8"/>
      <c r="G14" s="13">
        <v>0</v>
      </c>
      <c r="H14" s="14">
        <f>H16-H12-H15</f>
        <v>142158.74991237954</v>
      </c>
      <c r="I14" s="14">
        <f t="shared" ref="I14:P14" si="13">I16-I12-I15</f>
        <v>131947.45926699042</v>
      </c>
      <c r="J14" s="14">
        <f t="shared" si="13"/>
        <v>121665.30319374742</v>
      </c>
      <c r="K14" s="14">
        <f t="shared" si="13"/>
        <v>111320.47783117031</v>
      </c>
      <c r="L14" s="14">
        <f t="shared" si="13"/>
        <v>100920.84995238297</v>
      </c>
      <c r="M14" s="14">
        <f t="shared" si="13"/>
        <v>90473.967558052856</v>
      </c>
      <c r="N14" s="14">
        <f t="shared" si="13"/>
        <v>79987.070161138778</v>
      </c>
      <c r="O14" s="14">
        <f t="shared" si="13"/>
        <v>69467.098771915538</v>
      </c>
      <c r="P14" s="14">
        <f t="shared" si="13"/>
        <v>58920.705591517151</v>
      </c>
    </row>
    <row r="15" spans="1:18" x14ac:dyDescent="0.2">
      <c r="A15" s="15" t="s">
        <v>11</v>
      </c>
      <c r="B15" s="4">
        <v>165331</v>
      </c>
      <c r="C15" s="4">
        <v>326654</v>
      </c>
      <c r="D15" s="4">
        <v>189813</v>
      </c>
      <c r="E15" s="7">
        <f>D15/B15-1</f>
        <v>0.14807870272362722</v>
      </c>
      <c r="F15" s="8"/>
      <c r="G15" s="11">
        <v>170000</v>
      </c>
      <c r="H15" s="11">
        <f>$G$15</f>
        <v>170000</v>
      </c>
      <c r="I15" s="11">
        <f t="shared" ref="I15:P15" si="14">$G$15</f>
        <v>170000</v>
      </c>
      <c r="J15" s="11">
        <f t="shared" si="14"/>
        <v>170000</v>
      </c>
      <c r="K15" s="11">
        <f t="shared" si="14"/>
        <v>170000</v>
      </c>
      <c r="L15" s="11">
        <f t="shared" si="14"/>
        <v>170000</v>
      </c>
      <c r="M15" s="11">
        <f t="shared" si="14"/>
        <v>170000</v>
      </c>
      <c r="N15" s="11">
        <f t="shared" si="14"/>
        <v>170000</v>
      </c>
      <c r="O15" s="11">
        <f t="shared" si="14"/>
        <v>170000</v>
      </c>
      <c r="P15" s="11">
        <f t="shared" si="14"/>
        <v>170000</v>
      </c>
    </row>
    <row r="16" spans="1:18" x14ac:dyDescent="0.2">
      <c r="A16" t="s">
        <v>12</v>
      </c>
      <c r="B16" s="4">
        <f>SUM(B12:B15)</f>
        <v>1414000</v>
      </c>
      <c r="C16" s="4">
        <f t="shared" ref="C16" si="15">SUM(C12:C15)</f>
        <v>1266090</v>
      </c>
      <c r="D16" s="4">
        <f t="shared" ref="D16" si="16">SUM(D12:D15)</f>
        <v>1258550</v>
      </c>
      <c r="E16" s="7">
        <f t="shared" ref="E16" si="17">D16/B16-1</f>
        <v>-0.10993635077793495</v>
      </c>
      <c r="F16" s="8"/>
      <c r="G16" s="4">
        <f>G10</f>
        <v>1072290.6387161722</v>
      </c>
      <c r="H16" s="4">
        <f t="shared" ref="H16:P16" si="18">H4*H3</f>
        <v>1062158.7499123795</v>
      </c>
      <c r="I16" s="4">
        <f t="shared" si="18"/>
        <v>1051947.4592669904</v>
      </c>
      <c r="J16" s="4">
        <f t="shared" si="18"/>
        <v>1041665.3031937474</v>
      </c>
      <c r="K16" s="4">
        <f t="shared" si="18"/>
        <v>1031320.4778311703</v>
      </c>
      <c r="L16" s="4">
        <f t="shared" si="18"/>
        <v>1020920.849952383</v>
      </c>
      <c r="M16" s="4">
        <f t="shared" si="18"/>
        <v>1010473.9675580529</v>
      </c>
      <c r="N16" s="4">
        <f t="shared" si="18"/>
        <v>999987.07016113878</v>
      </c>
      <c r="O16" s="4">
        <f t="shared" si="18"/>
        <v>989467.09877191554</v>
      </c>
      <c r="P16" s="4">
        <f t="shared" si="18"/>
        <v>978920.70559151715</v>
      </c>
      <c r="Q16" s="13">
        <f>SUM(G16:P16)</f>
        <v>10259152.320955466</v>
      </c>
    </row>
    <row r="17" spans="1:17" s="22" customFormat="1" ht="17" customHeight="1" x14ac:dyDescent="0.2">
      <c r="A17" s="17" t="s">
        <v>16</v>
      </c>
      <c r="B17" s="18"/>
      <c r="C17" s="18"/>
      <c r="D17" s="18"/>
      <c r="E17" s="19"/>
      <c r="F17" s="20"/>
      <c r="G17" s="21"/>
      <c r="H17" s="21"/>
      <c r="I17" s="21"/>
      <c r="J17" s="21"/>
      <c r="K17" s="11"/>
      <c r="L17" s="11"/>
      <c r="M17" s="11"/>
      <c r="N17" s="11"/>
      <c r="O17" s="11"/>
      <c r="P17" s="11"/>
    </row>
    <row r="18" spans="1:17" ht="18" customHeight="1" x14ac:dyDescent="0.2">
      <c r="A18" t="s">
        <v>8</v>
      </c>
      <c r="B18" s="6">
        <f>B4</f>
        <v>0.60131933033269036</v>
      </c>
      <c r="C18" s="6">
        <f t="shared" ref="C18:D18" si="19">C4</f>
        <v>0.45757553525484529</v>
      </c>
      <c r="D18" s="6">
        <f t="shared" si="19"/>
        <v>0.44091964090212393</v>
      </c>
      <c r="E18" s="7"/>
      <c r="F18" s="38">
        <f>F122</f>
        <v>-0.05</v>
      </c>
      <c r="G18" s="9">
        <f>G4</f>
        <v>0.32977536105263694</v>
      </c>
      <c r="H18" s="9">
        <f>G18*(1+$F$18)</f>
        <v>0.31328659300000505</v>
      </c>
      <c r="I18" s="9">
        <f t="shared" ref="I18:P18" si="20">H18*(1+$F$18)</f>
        <v>0.2976222633500048</v>
      </c>
      <c r="J18" s="9">
        <f t="shared" si="20"/>
        <v>0.28274115018250456</v>
      </c>
      <c r="K18" s="9">
        <f t="shared" si="20"/>
        <v>0.26860409267337931</v>
      </c>
      <c r="L18" s="9">
        <f t="shared" si="20"/>
        <v>0.25517388803971036</v>
      </c>
      <c r="M18" s="9">
        <f t="shared" si="20"/>
        <v>0.24241519363772482</v>
      </c>
      <c r="N18" s="9">
        <f t="shared" si="20"/>
        <v>0.23029443395583857</v>
      </c>
      <c r="O18" s="9">
        <f t="shared" si="20"/>
        <v>0.21877971225804663</v>
      </c>
      <c r="P18" s="9">
        <f t="shared" si="20"/>
        <v>0.20784072664514427</v>
      </c>
    </row>
    <row r="19" spans="1:17" x14ac:dyDescent="0.2">
      <c r="A19" s="10" t="s">
        <v>9</v>
      </c>
      <c r="B19" s="4">
        <v>567817</v>
      </c>
      <c r="C19" s="4">
        <f>615596+44138</f>
        <v>659734</v>
      </c>
      <c r="D19" s="4">
        <v>691083</v>
      </c>
      <c r="E19" s="7">
        <f>D19/B19-1</f>
        <v>0.21708754757254534</v>
      </c>
      <c r="F19" s="8"/>
      <c r="G19" s="11">
        <v>653000</v>
      </c>
      <c r="H19" s="35">
        <f>H12</f>
        <v>750000</v>
      </c>
      <c r="I19" s="35">
        <f>H19</f>
        <v>750000</v>
      </c>
      <c r="J19" s="35">
        <f t="shared" ref="J19" si="21">I19</f>
        <v>750000</v>
      </c>
      <c r="K19" s="35">
        <f t="shared" ref="K19:P19" si="22">K23-K22</f>
        <v>749050.12280528853</v>
      </c>
      <c r="L19" s="35">
        <f t="shared" si="22"/>
        <v>713942.50690671185</v>
      </c>
      <c r="M19" s="35">
        <f t="shared" si="22"/>
        <v>680048.0272909794</v>
      </c>
      <c r="N19" s="35">
        <f t="shared" si="22"/>
        <v>647333.13936955354</v>
      </c>
      <c r="O19" s="35">
        <f t="shared" si="22"/>
        <v>615764.62017204287</v>
      </c>
      <c r="P19" s="35">
        <f t="shared" si="22"/>
        <v>585309.62004585925</v>
      </c>
      <c r="Q19" t="s">
        <v>117</v>
      </c>
    </row>
    <row r="20" spans="1:17" x14ac:dyDescent="0.2">
      <c r="A20" s="10" t="s">
        <v>118</v>
      </c>
      <c r="B20" s="4">
        <v>284468</v>
      </c>
      <c r="C20" s="4">
        <v>244362</v>
      </c>
      <c r="D20" s="4">
        <v>233051</v>
      </c>
      <c r="E20" s="7">
        <f t="shared" ref="E20:E21" si="23">D20/B20-1</f>
        <v>-0.18074792243767313</v>
      </c>
      <c r="F20" s="8"/>
      <c r="G20" s="11">
        <v>250000</v>
      </c>
      <c r="H20" s="12"/>
      <c r="I20" s="12"/>
      <c r="J20" s="12"/>
      <c r="K20" s="12"/>
      <c r="L20" s="12"/>
      <c r="M20" s="12"/>
      <c r="N20" s="12"/>
      <c r="O20" s="12"/>
      <c r="P20" s="12"/>
    </row>
    <row r="21" spans="1:17" x14ac:dyDescent="0.2">
      <c r="A21" s="10" t="s">
        <v>10</v>
      </c>
      <c r="B21" s="4">
        <f>396384</f>
        <v>396384</v>
      </c>
      <c r="C21" s="4">
        <f>35340</f>
        <v>35340</v>
      </c>
      <c r="D21" s="4">
        <f>144603</f>
        <v>144603</v>
      </c>
      <c r="E21" s="7">
        <f t="shared" si="23"/>
        <v>-0.6351946597239041</v>
      </c>
      <c r="F21" s="8"/>
      <c r="G21" s="13">
        <v>0</v>
      </c>
      <c r="H21" s="14">
        <f t="shared" ref="H21:P21" si="24">H23-H19-H20-H22</f>
        <v>111990.78698286368</v>
      </c>
      <c r="I21" s="14">
        <f t="shared" si="24"/>
        <v>73040.193826095667</v>
      </c>
      <c r="J21" s="14">
        <f t="shared" si="24"/>
        <v>35404.683017547359</v>
      </c>
      <c r="K21" s="14">
        <f t="shared" si="24"/>
        <v>0</v>
      </c>
      <c r="L21" s="14">
        <f t="shared" si="24"/>
        <v>0</v>
      </c>
      <c r="M21" s="14">
        <f t="shared" si="24"/>
        <v>0</v>
      </c>
      <c r="N21" s="14">
        <f t="shared" si="24"/>
        <v>0</v>
      </c>
      <c r="O21" s="14">
        <f t="shared" si="24"/>
        <v>0</v>
      </c>
      <c r="P21" s="14">
        <f t="shared" si="24"/>
        <v>0</v>
      </c>
    </row>
    <row r="22" spans="1:17" x14ac:dyDescent="0.2">
      <c r="A22" s="15" t="s">
        <v>11</v>
      </c>
      <c r="B22" s="4">
        <v>165331</v>
      </c>
      <c r="C22" s="4">
        <v>326654</v>
      </c>
      <c r="D22" s="4">
        <v>189813</v>
      </c>
      <c r="E22" s="7">
        <f>D22/B22-1</f>
        <v>0.14807870272362722</v>
      </c>
      <c r="F22" s="8"/>
      <c r="G22" s="11">
        <v>170000</v>
      </c>
      <c r="H22" s="11">
        <v>170000</v>
      </c>
      <c r="I22" s="11">
        <v>170000</v>
      </c>
      <c r="J22" s="11">
        <v>170000</v>
      </c>
      <c r="K22" s="11">
        <v>170000</v>
      </c>
      <c r="L22" s="11">
        <v>170000</v>
      </c>
      <c r="M22" s="11">
        <v>170000</v>
      </c>
      <c r="N22" s="11">
        <v>170000</v>
      </c>
      <c r="O22" s="11">
        <v>170000</v>
      </c>
      <c r="P22" s="11">
        <v>170000</v>
      </c>
    </row>
    <row r="23" spans="1:17" x14ac:dyDescent="0.2">
      <c r="A23" t="s">
        <v>12</v>
      </c>
      <c r="B23" s="4">
        <f>SUM(B19:B22)</f>
        <v>1414000</v>
      </c>
      <c r="C23" s="4">
        <f t="shared" ref="C23" si="25">SUM(C19:C22)</f>
        <v>1266090</v>
      </c>
      <c r="D23" s="4">
        <f t="shared" ref="D23" si="26">SUM(D19:D22)</f>
        <v>1258550</v>
      </c>
      <c r="E23" s="7">
        <f t="shared" ref="E23" si="27">D23/B23-1</f>
        <v>-0.10993635077793495</v>
      </c>
      <c r="F23" s="8"/>
      <c r="G23" s="4">
        <f>G10</f>
        <v>1072290.6387161722</v>
      </c>
      <c r="H23" s="4">
        <f>H18*H3</f>
        <v>1031990.7869828637</v>
      </c>
      <c r="I23" s="4">
        <f t="shared" ref="I23:P23" si="28">I18*I3</f>
        <v>993040.19382609567</v>
      </c>
      <c r="J23" s="4">
        <f t="shared" si="28"/>
        <v>955404.68301754736</v>
      </c>
      <c r="K23" s="4">
        <f t="shared" si="28"/>
        <v>919050.12280528853</v>
      </c>
      <c r="L23" s="4">
        <f t="shared" si="28"/>
        <v>883942.50690671185</v>
      </c>
      <c r="M23" s="4">
        <f t="shared" si="28"/>
        <v>850048.0272909794</v>
      </c>
      <c r="N23" s="4">
        <f t="shared" si="28"/>
        <v>817333.13936955354</v>
      </c>
      <c r="O23" s="4">
        <f t="shared" si="28"/>
        <v>785764.62017204287</v>
      </c>
      <c r="P23" s="4">
        <f t="shared" si="28"/>
        <v>755309.62004585925</v>
      </c>
      <c r="Q23" s="13">
        <f>SUM(G23:P23)</f>
        <v>9064174.3391331136</v>
      </c>
    </row>
    <row r="24" spans="1:17" x14ac:dyDescent="0.2">
      <c r="A24" t="s">
        <v>15</v>
      </c>
      <c r="K24" s="55"/>
      <c r="L24" s="55"/>
      <c r="M24" s="55"/>
      <c r="N24" s="55"/>
      <c r="O24" s="55"/>
      <c r="P24" s="55"/>
    </row>
    <row r="25" spans="1:17" s="22" customFormat="1" ht="17" customHeight="1" x14ac:dyDescent="0.2">
      <c r="A25" s="17" t="s">
        <v>143</v>
      </c>
      <c r="B25" s="18"/>
      <c r="C25" s="18"/>
      <c r="D25" s="18"/>
      <c r="E25" s="19"/>
      <c r="F25" s="20"/>
      <c r="G25" s="21"/>
      <c r="H25" s="21"/>
      <c r="I25" s="21"/>
      <c r="J25" s="21"/>
      <c r="K25" s="11"/>
      <c r="L25" s="11"/>
      <c r="M25" s="11"/>
      <c r="N25" s="11"/>
      <c r="O25" s="11"/>
      <c r="P25" s="11"/>
    </row>
    <row r="26" spans="1:17" ht="18" customHeight="1" x14ac:dyDescent="0.2">
      <c r="A26" t="s">
        <v>8</v>
      </c>
      <c r="B26" s="6">
        <f>B4</f>
        <v>0.60131933033269036</v>
      </c>
      <c r="C26" s="6">
        <f t="shared" ref="C26:D26" si="29">C4</f>
        <v>0.45757553525484529</v>
      </c>
      <c r="D26" s="6">
        <f t="shared" si="29"/>
        <v>0.44091964090212393</v>
      </c>
      <c r="E26" s="7"/>
      <c r="F26" s="38">
        <f>F18</f>
        <v>-0.05</v>
      </c>
      <c r="G26" s="9">
        <f>G18</f>
        <v>0.32977536105263694</v>
      </c>
      <c r="H26" s="9">
        <f>G26*(1+$F$18)</f>
        <v>0.31328659300000505</v>
      </c>
      <c r="I26" s="9">
        <f t="shared" ref="I26" si="30">H26*(1+$F$18)</f>
        <v>0.2976222633500048</v>
      </c>
      <c r="J26" s="9">
        <f t="shared" ref="J26" si="31">I26*(1+$F$18)</f>
        <v>0.28274115018250456</v>
      </c>
      <c r="K26" s="9">
        <f t="shared" ref="K26" si="32">J26*(1+$F$18)</f>
        <v>0.26860409267337931</v>
      </c>
      <c r="L26" s="9">
        <f t="shared" ref="L26" si="33">K26*(1+$F$18)</f>
        <v>0.25517388803971036</v>
      </c>
      <c r="M26" s="9">
        <f t="shared" ref="M26" si="34">L26*(1+$F$18)</f>
        <v>0.24241519363772482</v>
      </c>
      <c r="N26" s="9">
        <f t="shared" ref="N26" si="35">M26*(1+$F$18)</f>
        <v>0.23029443395583857</v>
      </c>
      <c r="O26" s="9">
        <f t="shared" ref="O26" si="36">N26*(1+$F$18)</f>
        <v>0.21877971225804663</v>
      </c>
      <c r="P26" s="9">
        <f t="shared" ref="P26" si="37">O26*(1+$F$18)</f>
        <v>0.20784072664514427</v>
      </c>
    </row>
    <row r="27" spans="1:17" x14ac:dyDescent="0.2">
      <c r="A27" s="10" t="s">
        <v>9</v>
      </c>
      <c r="B27" s="4">
        <v>567817</v>
      </c>
      <c r="C27" s="4">
        <f>615596+44138</f>
        <v>659734</v>
      </c>
      <c r="D27" s="4">
        <v>691083</v>
      </c>
      <c r="E27" s="7">
        <f>D27/B27-1</f>
        <v>0.21708754757254534</v>
      </c>
      <c r="F27" s="8"/>
      <c r="G27" s="11">
        <v>653000</v>
      </c>
      <c r="H27" s="35">
        <f>H31-H30-H28</f>
        <v>611990.78698286368</v>
      </c>
      <c r="I27" s="35">
        <f t="shared" ref="I27:P27" si="38">I31-I30-I28</f>
        <v>573040.19382609567</v>
      </c>
      <c r="J27" s="35">
        <f t="shared" si="38"/>
        <v>535404.68301754736</v>
      </c>
      <c r="K27" s="35">
        <f t="shared" si="38"/>
        <v>499050.12280528853</v>
      </c>
      <c r="L27" s="35">
        <f t="shared" si="38"/>
        <v>463942.50690671185</v>
      </c>
      <c r="M27" s="35">
        <f t="shared" si="38"/>
        <v>430048.0272909794</v>
      </c>
      <c r="N27" s="35">
        <f t="shared" si="38"/>
        <v>397333.13936955354</v>
      </c>
      <c r="O27" s="35">
        <f t="shared" si="38"/>
        <v>365764.62017204287</v>
      </c>
      <c r="P27" s="35">
        <f t="shared" si="38"/>
        <v>335309.62004585925</v>
      </c>
      <c r="Q27" t="s">
        <v>117</v>
      </c>
    </row>
    <row r="28" spans="1:17" x14ac:dyDescent="0.2">
      <c r="A28" s="10" t="s">
        <v>118</v>
      </c>
      <c r="B28" s="4">
        <v>284468</v>
      </c>
      <c r="C28" s="4">
        <v>244362</v>
      </c>
      <c r="D28" s="4">
        <v>233051</v>
      </c>
      <c r="E28" s="7">
        <f t="shared" ref="E28:E29" si="39">D28/B28-1</f>
        <v>-0.18074792243767313</v>
      </c>
      <c r="F28" s="8"/>
      <c r="G28" s="11">
        <v>250000</v>
      </c>
      <c r="H28" s="11">
        <f>G28</f>
        <v>250000</v>
      </c>
      <c r="I28" s="11">
        <f t="shared" ref="I28" si="40">H28</f>
        <v>250000</v>
      </c>
      <c r="J28" s="11">
        <f t="shared" ref="J28" si="41">I28</f>
        <v>250000</v>
      </c>
      <c r="K28" s="11">
        <f t="shared" ref="K28:P28" si="42">J28</f>
        <v>250000</v>
      </c>
      <c r="L28" s="11">
        <f t="shared" si="42"/>
        <v>250000</v>
      </c>
      <c r="M28" s="11">
        <f t="shared" si="42"/>
        <v>250000</v>
      </c>
      <c r="N28" s="11">
        <f t="shared" si="42"/>
        <v>250000</v>
      </c>
      <c r="O28" s="11">
        <f t="shared" si="42"/>
        <v>250000</v>
      </c>
      <c r="P28" s="11">
        <f t="shared" si="42"/>
        <v>250000</v>
      </c>
    </row>
    <row r="29" spans="1:17" x14ac:dyDescent="0.2">
      <c r="A29" s="10" t="s">
        <v>10</v>
      </c>
      <c r="B29" s="4">
        <f>396384</f>
        <v>396384</v>
      </c>
      <c r="C29" s="4">
        <f>35340</f>
        <v>35340</v>
      </c>
      <c r="D29" s="4">
        <f>144603</f>
        <v>144603</v>
      </c>
      <c r="E29" s="7">
        <f t="shared" si="39"/>
        <v>-0.6351946597239041</v>
      </c>
      <c r="F29" s="8"/>
      <c r="G29" s="13">
        <v>0</v>
      </c>
      <c r="H29" s="14">
        <f t="shared" ref="H29:P29" si="43">H31-H27-H28-H30</f>
        <v>0</v>
      </c>
      <c r="I29" s="14">
        <f t="shared" si="43"/>
        <v>0</v>
      </c>
      <c r="J29" s="14">
        <f t="shared" si="43"/>
        <v>0</v>
      </c>
      <c r="K29" s="14">
        <f t="shared" si="43"/>
        <v>0</v>
      </c>
      <c r="L29" s="14">
        <f t="shared" si="43"/>
        <v>0</v>
      </c>
      <c r="M29" s="14">
        <f t="shared" si="43"/>
        <v>0</v>
      </c>
      <c r="N29" s="14">
        <f t="shared" si="43"/>
        <v>0</v>
      </c>
      <c r="O29" s="14">
        <f t="shared" si="43"/>
        <v>0</v>
      </c>
      <c r="P29" s="14">
        <f t="shared" si="43"/>
        <v>0</v>
      </c>
    </row>
    <row r="30" spans="1:17" x14ac:dyDescent="0.2">
      <c r="A30" s="15" t="s">
        <v>11</v>
      </c>
      <c r="B30" s="4">
        <v>165331</v>
      </c>
      <c r="C30" s="4">
        <v>326654</v>
      </c>
      <c r="D30" s="4">
        <v>189813</v>
      </c>
      <c r="E30" s="7">
        <f>D30/B30-1</f>
        <v>0.14807870272362722</v>
      </c>
      <c r="F30" s="8"/>
      <c r="G30" s="11">
        <v>170000</v>
      </c>
      <c r="H30" s="11">
        <v>170000</v>
      </c>
      <c r="I30" s="11">
        <v>170000</v>
      </c>
      <c r="J30" s="11">
        <v>170000</v>
      </c>
      <c r="K30" s="11">
        <v>170000</v>
      </c>
      <c r="L30" s="11">
        <v>170000</v>
      </c>
      <c r="M30" s="11">
        <v>170000</v>
      </c>
      <c r="N30" s="11">
        <v>170000</v>
      </c>
      <c r="O30" s="11">
        <v>170000</v>
      </c>
      <c r="P30" s="11">
        <v>170000</v>
      </c>
    </row>
    <row r="31" spans="1:17" x14ac:dyDescent="0.2">
      <c r="A31" t="s">
        <v>12</v>
      </c>
      <c r="B31" s="4">
        <f>SUM(B27:B30)</f>
        <v>1414000</v>
      </c>
      <c r="C31" s="4">
        <f t="shared" ref="C31:D31" si="44">SUM(C27:C30)</f>
        <v>1266090</v>
      </c>
      <c r="D31" s="4">
        <f t="shared" si="44"/>
        <v>1258550</v>
      </c>
      <c r="E31" s="7">
        <f t="shared" ref="E31" si="45">D31/B31-1</f>
        <v>-0.10993635077793495</v>
      </c>
      <c r="F31" s="8"/>
      <c r="G31" s="4">
        <f>G23</f>
        <v>1072290.6387161722</v>
      </c>
      <c r="H31" s="4">
        <f t="shared" ref="H31:P31" si="46">H23</f>
        <v>1031990.7869828637</v>
      </c>
      <c r="I31" s="4">
        <f t="shared" si="46"/>
        <v>993040.19382609567</v>
      </c>
      <c r="J31" s="4">
        <f t="shared" si="46"/>
        <v>955404.68301754736</v>
      </c>
      <c r="K31" s="4">
        <f t="shared" si="46"/>
        <v>919050.12280528853</v>
      </c>
      <c r="L31" s="4">
        <f t="shared" si="46"/>
        <v>883942.50690671185</v>
      </c>
      <c r="M31" s="4">
        <f t="shared" si="46"/>
        <v>850048.0272909794</v>
      </c>
      <c r="N31" s="4">
        <f t="shared" si="46"/>
        <v>817333.13936955354</v>
      </c>
      <c r="O31" s="4">
        <f t="shared" si="46"/>
        <v>785764.62017204287</v>
      </c>
      <c r="P31" s="4">
        <f t="shared" si="46"/>
        <v>755309.62004585925</v>
      </c>
      <c r="Q31" s="13">
        <f>SUM(G31:P31)</f>
        <v>9064174.3391331136</v>
      </c>
    </row>
    <row r="32" spans="1:17" x14ac:dyDescent="0.2">
      <c r="A32" t="s">
        <v>15</v>
      </c>
      <c r="K32" s="11"/>
      <c r="L32" s="11"/>
      <c r="M32" s="11"/>
      <c r="N32" s="11"/>
      <c r="O32" s="11"/>
      <c r="P32" s="11"/>
    </row>
    <row r="34" spans="1:17" s="22" customFormat="1" ht="17" customHeight="1" x14ac:dyDescent="0.2">
      <c r="A34" s="17" t="s">
        <v>17</v>
      </c>
      <c r="B34" s="18"/>
      <c r="C34" s="18"/>
      <c r="D34" s="18"/>
      <c r="E34" s="19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7" ht="17" customHeight="1" x14ac:dyDescent="0.2">
      <c r="A35" s="23" t="s">
        <v>18</v>
      </c>
      <c r="B35" s="23"/>
      <c r="C35" s="23"/>
      <c r="D35" s="24"/>
      <c r="E35" s="24"/>
      <c r="F35" s="24" t="s">
        <v>19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x14ac:dyDescent="0.2">
      <c r="A36" s="24" t="s">
        <v>20</v>
      </c>
      <c r="B36" s="24"/>
      <c r="C36" s="24">
        <v>-3</v>
      </c>
      <c r="D36" s="24"/>
      <c r="E36" s="24"/>
      <c r="F36" s="32">
        <f>'Disposal costs'!F2</f>
        <v>64</v>
      </c>
      <c r="G36" s="25">
        <f>G6*($F$36*(1+0.02*(G2-2024)))</f>
        <v>44251396.930505127</v>
      </c>
      <c r="H36" s="25">
        <f t="shared" ref="H36:P36" si="47">H6*($F$36*(1+0.02*(H2-2024)))</f>
        <v>44386012.793943673</v>
      </c>
      <c r="I36" s="25">
        <f t="shared" si="47"/>
        <v>44489101.132396132</v>
      </c>
      <c r="J36" s="25">
        <f t="shared" si="47"/>
        <v>44560968.932927817</v>
      </c>
      <c r="K36" s="25">
        <f t="shared" si="47"/>
        <v>44601942.06256219</v>
      </c>
      <c r="L36" s="25">
        <f t="shared" si="47"/>
        <v>44612363.900464907</v>
      </c>
      <c r="M36" s="25">
        <f t="shared" si="47"/>
        <v>44592594.029984146</v>
      </c>
      <c r="N36" s="25">
        <f t="shared" si="47"/>
        <v>44543006.988375455</v>
      </c>
      <c r="O36" s="25">
        <f t="shared" si="47"/>
        <v>44463991.072111167</v>
      </c>
      <c r="P36" s="25">
        <f t="shared" si="47"/>
        <v>44355947.195742801</v>
      </c>
      <c r="Q36" s="24"/>
    </row>
    <row r="37" spans="1:17" x14ac:dyDescent="0.2">
      <c r="A37" s="24" t="s">
        <v>79</v>
      </c>
      <c r="B37" s="24"/>
      <c r="C37" s="24"/>
      <c r="D37" s="24"/>
      <c r="E37" s="24"/>
      <c r="F37" s="32">
        <f>'Disposal costs'!F3</f>
        <v>107.23583695223056</v>
      </c>
      <c r="G37" s="25">
        <f>G7*($F$37*(1+0.02*(G2-2024)))</f>
        <v>28417496.792341098</v>
      </c>
      <c r="H37" s="25">
        <f t="shared" ref="H37:P37" si="48">H7*($F$37*(1+0.02*(H2-2024)))</f>
        <v>28953675.977102254</v>
      </c>
      <c r="I37" s="25">
        <f t="shared" si="48"/>
        <v>29489855.161863405</v>
      </c>
      <c r="J37" s="25">
        <f t="shared" si="48"/>
        <v>30026034.346624561</v>
      </c>
      <c r="K37" s="25">
        <f t="shared" si="48"/>
        <v>30562213.531385712</v>
      </c>
      <c r="L37" s="25">
        <f t="shared" si="48"/>
        <v>31098392.716146857</v>
      </c>
      <c r="M37" s="25">
        <f t="shared" si="48"/>
        <v>31634571.900908016</v>
      </c>
      <c r="N37" s="25">
        <f t="shared" si="48"/>
        <v>32170751.085669167</v>
      </c>
      <c r="O37" s="25">
        <f t="shared" si="48"/>
        <v>32706930.270430319</v>
      </c>
      <c r="P37" s="25">
        <f t="shared" si="48"/>
        <v>33243109.455191471</v>
      </c>
      <c r="Q37" s="24"/>
    </row>
    <row r="38" spans="1:17" x14ac:dyDescent="0.2">
      <c r="A38" s="24" t="s">
        <v>21</v>
      </c>
      <c r="B38" s="24"/>
      <c r="C38" s="24"/>
      <c r="D38" s="24"/>
      <c r="E38" s="24"/>
      <c r="F38" s="32">
        <f>'Disposal costs'!F4</f>
        <v>171</v>
      </c>
      <c r="G38" s="25">
        <f>G8*($F$38*(1+0.02*(G2-2024)))</f>
        <v>0</v>
      </c>
      <c r="H38" s="25">
        <f t="shared" ref="H38:P38" si="49">H8*($F$38*(1+0.02*(H2-2024)))</f>
        <v>0</v>
      </c>
      <c r="I38" s="25">
        <f t="shared" si="49"/>
        <v>0</v>
      </c>
      <c r="J38" s="25">
        <f t="shared" si="49"/>
        <v>0</v>
      </c>
      <c r="K38" s="25">
        <f t="shared" si="49"/>
        <v>0</v>
      </c>
      <c r="L38" s="25">
        <f t="shared" si="49"/>
        <v>0</v>
      </c>
      <c r="M38" s="25">
        <f t="shared" si="49"/>
        <v>0</v>
      </c>
      <c r="N38" s="25">
        <f t="shared" si="49"/>
        <v>0</v>
      </c>
      <c r="O38" s="25">
        <f t="shared" si="49"/>
        <v>0</v>
      </c>
      <c r="P38" s="25">
        <f t="shared" si="49"/>
        <v>0</v>
      </c>
      <c r="Q38" s="24"/>
    </row>
    <row r="39" spans="1:17" x14ac:dyDescent="0.2">
      <c r="A39" s="23" t="s">
        <v>22</v>
      </c>
      <c r="B39" s="23"/>
      <c r="C39" s="23"/>
      <c r="D39" s="23"/>
      <c r="E39" s="23"/>
      <c r="F39" s="23"/>
      <c r="G39" s="27">
        <f>SUM(G36:G38)</f>
        <v>72668893.722846225</v>
      </c>
      <c r="H39" s="27">
        <f t="shared" ref="H39:P39" si="50">SUM(H36:H38)</f>
        <v>73339688.771045923</v>
      </c>
      <c r="I39" s="27">
        <f t="shared" si="50"/>
        <v>73978956.294259533</v>
      </c>
      <c r="J39" s="27">
        <f t="shared" si="50"/>
        <v>74587003.27955237</v>
      </c>
      <c r="K39" s="27">
        <f t="shared" si="50"/>
        <v>75164155.593947902</v>
      </c>
      <c r="L39" s="27">
        <f t="shared" si="50"/>
        <v>75710756.616611764</v>
      </c>
      <c r="M39" s="27">
        <f t="shared" si="50"/>
        <v>76227165.930892169</v>
      </c>
      <c r="N39" s="27">
        <f t="shared" si="50"/>
        <v>76713758.074044615</v>
      </c>
      <c r="O39" s="27">
        <f t="shared" si="50"/>
        <v>77170921.342541486</v>
      </c>
      <c r="P39" s="27">
        <f t="shared" si="50"/>
        <v>77599056.650934279</v>
      </c>
      <c r="Q39" s="37" t="s">
        <v>23</v>
      </c>
    </row>
    <row r="40" spans="1:17" x14ac:dyDescent="0.2">
      <c r="A40" s="23" t="s">
        <v>26</v>
      </c>
      <c r="H40" s="24"/>
      <c r="I40" s="24"/>
      <c r="J40" s="24"/>
      <c r="K40" s="24"/>
      <c r="L40" s="24"/>
      <c r="M40" s="24"/>
      <c r="N40" s="24"/>
      <c r="O40" s="24"/>
      <c r="Q40" s="27">
        <f>SUM(G39:P39)</f>
        <v>753160356.27667618</v>
      </c>
    </row>
    <row r="41" spans="1:17" x14ac:dyDescent="0.2">
      <c r="A41" s="24" t="s">
        <v>86</v>
      </c>
      <c r="B41" s="24"/>
      <c r="C41" s="24"/>
      <c r="D41" s="24"/>
      <c r="E41" s="36">
        <v>220000000</v>
      </c>
      <c r="F41" s="24"/>
      <c r="G41" s="28">
        <f>E41/20</f>
        <v>11000000</v>
      </c>
      <c r="H41" s="28">
        <f>G41</f>
        <v>11000000</v>
      </c>
      <c r="I41" s="28">
        <f t="shared" ref="I41:P41" si="51">H41</f>
        <v>11000000</v>
      </c>
      <c r="J41" s="28">
        <f t="shared" si="51"/>
        <v>11000000</v>
      </c>
      <c r="K41" s="28">
        <f t="shared" si="51"/>
        <v>11000000</v>
      </c>
      <c r="L41" s="28">
        <f t="shared" si="51"/>
        <v>11000000</v>
      </c>
      <c r="M41" s="28">
        <f t="shared" si="51"/>
        <v>11000000</v>
      </c>
      <c r="N41" s="28">
        <f t="shared" si="51"/>
        <v>11000000</v>
      </c>
      <c r="O41" s="28">
        <f t="shared" si="51"/>
        <v>11000000</v>
      </c>
      <c r="P41" s="28">
        <f t="shared" si="51"/>
        <v>11000000</v>
      </c>
      <c r="Q41" s="24" t="s">
        <v>119</v>
      </c>
    </row>
    <row r="42" spans="1:17" x14ac:dyDescent="0.2">
      <c r="A42" s="23" t="s">
        <v>25</v>
      </c>
      <c r="B42" s="24"/>
      <c r="C42" s="24"/>
      <c r="D42" s="24"/>
      <c r="E42" s="24"/>
      <c r="F42" s="24"/>
      <c r="G42" s="29">
        <f>SUM(G41+G39)</f>
        <v>83668893.722846225</v>
      </c>
      <c r="H42" s="29">
        <f t="shared" ref="H42:P42" si="52">SUM(H41+H39)</f>
        <v>84339688.771045923</v>
      </c>
      <c r="I42" s="29">
        <f t="shared" si="52"/>
        <v>84978956.294259533</v>
      </c>
      <c r="J42" s="29">
        <f t="shared" si="52"/>
        <v>85587003.27955237</v>
      </c>
      <c r="K42" s="29">
        <f t="shared" si="52"/>
        <v>86164155.593947902</v>
      </c>
      <c r="L42" s="29">
        <f t="shared" si="52"/>
        <v>86710756.616611764</v>
      </c>
      <c r="M42" s="29">
        <f t="shared" si="52"/>
        <v>87227165.930892169</v>
      </c>
      <c r="N42" s="29">
        <f t="shared" si="52"/>
        <v>87713758.074044615</v>
      </c>
      <c r="O42" s="29">
        <f t="shared" si="52"/>
        <v>88170921.342541486</v>
      </c>
      <c r="P42" s="29">
        <f t="shared" si="52"/>
        <v>88599056.650934279</v>
      </c>
    </row>
    <row r="43" spans="1:17" x14ac:dyDescent="0.2">
      <c r="A43" s="16" t="s">
        <v>27</v>
      </c>
      <c r="Q43" s="27">
        <f>SUM(G42:P42)</f>
        <v>863160356.27667618</v>
      </c>
    </row>
    <row r="44" spans="1:17" x14ac:dyDescent="0.2">
      <c r="A44" s="23" t="s">
        <v>28</v>
      </c>
      <c r="B44" s="23"/>
      <c r="C44" s="23"/>
      <c r="D44" s="24"/>
      <c r="E44" s="24"/>
      <c r="F44" s="24" t="s">
        <v>29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2">
      <c r="A45" s="24" t="s">
        <v>20</v>
      </c>
      <c r="B45" s="24"/>
      <c r="C45" s="24"/>
      <c r="D45" s="24"/>
      <c r="E45" s="24"/>
      <c r="F45" s="25">
        <f>'Disposal costs'!F12</f>
        <v>37.686075870602117</v>
      </c>
      <c r="G45" s="25">
        <f>G6*($F$45*(1+0.02*(G2-2022)))</f>
        <v>27040501.9503753</v>
      </c>
      <c r="H45" s="25">
        <f t="shared" ref="H45:P45" si="53">H6*$F$45*(1+0.02*(G2-2022))</f>
        <v>26620487.707185842</v>
      </c>
      <c r="I45" s="25">
        <f t="shared" si="53"/>
        <v>26673494.28371045</v>
      </c>
      <c r="J45" s="25">
        <f t="shared" si="53"/>
        <v>26708063.391799696</v>
      </c>
      <c r="K45" s="25">
        <f t="shared" si="53"/>
        <v>26724393.094205938</v>
      </c>
      <c r="L45" s="25">
        <f t="shared" si="53"/>
        <v>26722691.517368011</v>
      </c>
      <c r="M45" s="25">
        <f t="shared" si="53"/>
        <v>26703176.089209881</v>
      </c>
      <c r="N45" s="25">
        <f t="shared" si="53"/>
        <v>26666072.81067431</v>
      </c>
      <c r="O45" s="25">
        <f t="shared" si="53"/>
        <v>26611615.559761297</v>
      </c>
      <c r="P45" s="25">
        <f t="shared" si="53"/>
        <v>26540045.426881205</v>
      </c>
      <c r="Q45" s="24"/>
    </row>
    <row r="46" spans="1:17" x14ac:dyDescent="0.2">
      <c r="A46" s="24" t="s">
        <v>79</v>
      </c>
      <c r="B46" s="24"/>
      <c r="C46" s="24"/>
      <c r="D46" s="24"/>
      <c r="E46" s="24"/>
      <c r="F46" s="25">
        <f>'Disposal costs'!F13</f>
        <v>78.280771161677052</v>
      </c>
      <c r="G46" s="25">
        <f t="shared" ref="G46:P46" si="54">G7*($F$46*(1+0.02*(G2-2022)))</f>
        <v>21527212.069461189</v>
      </c>
      <c r="H46" s="25">
        <f t="shared" si="54"/>
        <v>21918615.925269578</v>
      </c>
      <c r="I46" s="25">
        <f t="shared" si="54"/>
        <v>22310019.781077962</v>
      </c>
      <c r="J46" s="25">
        <f t="shared" si="54"/>
        <v>22701423.636886343</v>
      </c>
      <c r="K46" s="25">
        <f t="shared" si="54"/>
        <v>23092827.492694728</v>
      </c>
      <c r="L46" s="25">
        <f t="shared" si="54"/>
        <v>23484231.348503117</v>
      </c>
      <c r="M46" s="25">
        <f t="shared" si="54"/>
        <v>23875635.204311501</v>
      </c>
      <c r="N46" s="25">
        <f t="shared" si="54"/>
        <v>24267039.060119886</v>
      </c>
      <c r="O46" s="25">
        <f t="shared" si="54"/>
        <v>24658442.915928274</v>
      </c>
      <c r="P46" s="25">
        <f t="shared" si="54"/>
        <v>25049846.771736659</v>
      </c>
      <c r="Q46" s="24"/>
    </row>
    <row r="47" spans="1:17" x14ac:dyDescent="0.2">
      <c r="A47" s="24" t="s">
        <v>21</v>
      </c>
      <c r="B47" s="24"/>
      <c r="C47" s="24"/>
      <c r="D47" s="24"/>
      <c r="E47" s="24"/>
      <c r="F47" s="25">
        <f>'Disposal costs'!F14</f>
        <v>117.41999999999999</v>
      </c>
      <c r="G47" s="25">
        <f t="shared" ref="G47:P47" si="55">G8*($F$47*(1+0.02*(G2-2022)))</f>
        <v>0</v>
      </c>
      <c r="H47" s="25">
        <f t="shared" si="55"/>
        <v>0</v>
      </c>
      <c r="I47" s="25">
        <f t="shared" si="55"/>
        <v>0</v>
      </c>
      <c r="J47" s="25">
        <f t="shared" si="55"/>
        <v>0</v>
      </c>
      <c r="K47" s="25">
        <f t="shared" si="55"/>
        <v>0</v>
      </c>
      <c r="L47" s="25">
        <f t="shared" si="55"/>
        <v>0</v>
      </c>
      <c r="M47" s="25">
        <f t="shared" si="55"/>
        <v>0</v>
      </c>
      <c r="N47" s="25">
        <f t="shared" si="55"/>
        <v>0</v>
      </c>
      <c r="O47" s="25">
        <f t="shared" si="55"/>
        <v>0</v>
      </c>
      <c r="P47" s="25">
        <f t="shared" si="55"/>
        <v>0</v>
      </c>
      <c r="Q47" s="24"/>
    </row>
    <row r="48" spans="1:17" x14ac:dyDescent="0.2">
      <c r="A48" s="23" t="s">
        <v>22</v>
      </c>
      <c r="B48" s="23"/>
      <c r="C48" s="23"/>
      <c r="D48" s="23"/>
      <c r="E48" s="23"/>
      <c r="F48" s="23"/>
      <c r="G48" s="27">
        <f>SUM(G45:G47)</f>
        <v>48567714.019836485</v>
      </c>
      <c r="H48" s="27">
        <f t="shared" ref="H48" si="56">SUM(H45:H47)</f>
        <v>48539103.632455423</v>
      </c>
      <c r="I48" s="27">
        <f t="shared" ref="I48" si="57">SUM(I45:I47)</f>
        <v>48983514.064788416</v>
      </c>
      <c r="J48" s="27">
        <f t="shared" ref="J48" si="58">SUM(J45:J47)</f>
        <v>49409487.028686039</v>
      </c>
      <c r="K48" s="27">
        <f t="shared" ref="K48" si="59">SUM(K45:K47)</f>
        <v>49817220.586900666</v>
      </c>
      <c r="L48" s="27">
        <f t="shared" ref="L48" si="60">SUM(L45:L47)</f>
        <v>50206922.865871131</v>
      </c>
      <c r="M48" s="27">
        <f t="shared" ref="M48" si="61">SUM(M45:M47)</f>
        <v>50578811.293521382</v>
      </c>
      <c r="N48" s="27">
        <f t="shared" ref="N48" si="62">SUM(N45:N47)</f>
        <v>50933111.870794192</v>
      </c>
      <c r="O48" s="27">
        <f t="shared" ref="O48" si="63">SUM(O45:O47)</f>
        <v>51270058.475689575</v>
      </c>
      <c r="P48" s="27">
        <f t="shared" ref="P48" si="64">SUM(P45:P47)</f>
        <v>51589892.198617861</v>
      </c>
      <c r="Q48" s="37" t="s">
        <v>23</v>
      </c>
    </row>
    <row r="49" spans="1:17" x14ac:dyDescent="0.2">
      <c r="A49" s="23" t="s">
        <v>85</v>
      </c>
      <c r="H49" s="24"/>
      <c r="I49" s="24"/>
      <c r="J49" s="24"/>
      <c r="K49" s="24"/>
      <c r="L49" s="24"/>
      <c r="M49" s="24"/>
      <c r="N49" s="24"/>
      <c r="O49" s="24"/>
      <c r="Q49" s="27">
        <f>SUM(G48:P48)</f>
        <v>499895836.03716123</v>
      </c>
    </row>
    <row r="50" spans="1:17" x14ac:dyDescent="0.2">
      <c r="A50" s="24" t="s">
        <v>86</v>
      </c>
      <c r="B50" s="24"/>
      <c r="C50" s="24"/>
      <c r="D50" s="24"/>
      <c r="E50" s="28">
        <f>E41</f>
        <v>220000000</v>
      </c>
      <c r="F50" s="24"/>
      <c r="G50" s="28">
        <f>E50/20</f>
        <v>11000000</v>
      </c>
      <c r="H50" s="28">
        <f>G50</f>
        <v>11000000</v>
      </c>
      <c r="I50" s="28">
        <f t="shared" ref="I50:P50" si="65">H50</f>
        <v>11000000</v>
      </c>
      <c r="J50" s="28">
        <f t="shared" si="65"/>
        <v>11000000</v>
      </c>
      <c r="K50" s="28">
        <f t="shared" si="65"/>
        <v>11000000</v>
      </c>
      <c r="L50" s="28">
        <f t="shared" si="65"/>
        <v>11000000</v>
      </c>
      <c r="M50" s="28">
        <f t="shared" si="65"/>
        <v>11000000</v>
      </c>
      <c r="N50" s="28">
        <f t="shared" si="65"/>
        <v>11000000</v>
      </c>
      <c r="O50" s="28">
        <f t="shared" si="65"/>
        <v>11000000</v>
      </c>
      <c r="P50" s="28">
        <f t="shared" si="65"/>
        <v>11000000</v>
      </c>
      <c r="Q50" s="24"/>
    </row>
    <row r="51" spans="1:17" x14ac:dyDescent="0.2">
      <c r="A51" s="23" t="s">
        <v>25</v>
      </c>
      <c r="B51" s="24"/>
      <c r="C51" s="24"/>
      <c r="D51" s="24"/>
      <c r="E51" s="24"/>
      <c r="F51" s="24"/>
      <c r="G51" s="29">
        <f>SUM(G50+G48)</f>
        <v>59567714.019836485</v>
      </c>
      <c r="H51" s="29">
        <f t="shared" ref="H51" si="66">SUM(H50+H48)</f>
        <v>59539103.632455423</v>
      </c>
      <c r="I51" s="29">
        <f t="shared" ref="I51" si="67">SUM(I50+I48)</f>
        <v>59983514.064788416</v>
      </c>
      <c r="J51" s="29">
        <f t="shared" ref="J51" si="68">SUM(J50+J48)</f>
        <v>60409487.028686039</v>
      </c>
      <c r="K51" s="29">
        <f t="shared" ref="K51" si="69">SUM(K50+K48)</f>
        <v>60817220.586900666</v>
      </c>
      <c r="L51" s="29">
        <f t="shared" ref="L51" si="70">SUM(L50+L48)</f>
        <v>61206922.865871131</v>
      </c>
      <c r="M51" s="29">
        <f t="shared" ref="M51" si="71">SUM(M50+M48)</f>
        <v>61578811.293521382</v>
      </c>
      <c r="N51" s="29">
        <f t="shared" ref="N51" si="72">SUM(N50+N48)</f>
        <v>61933111.870794192</v>
      </c>
      <c r="O51" s="29">
        <f t="shared" ref="O51" si="73">SUM(O50+O48)</f>
        <v>62270058.475689575</v>
      </c>
      <c r="P51" s="29">
        <f t="shared" ref="P51" si="74">SUM(P50+P48)</f>
        <v>62589892.198617861</v>
      </c>
    </row>
    <row r="52" spans="1:17" x14ac:dyDescent="0.2">
      <c r="A52" s="16" t="s">
        <v>27</v>
      </c>
      <c r="G52" s="26"/>
      <c r="Q52" s="27">
        <f>SUM(G51:P51)</f>
        <v>609895836.03716111</v>
      </c>
    </row>
    <row r="54" spans="1:17" s="22" customFormat="1" x14ac:dyDescent="0.2">
      <c r="A54" s="17" t="s">
        <v>33</v>
      </c>
    </row>
    <row r="55" spans="1:17" x14ac:dyDescent="0.2">
      <c r="A55" s="23" t="s">
        <v>31</v>
      </c>
      <c r="B55" s="23"/>
      <c r="C55" s="23"/>
      <c r="D55" s="24"/>
      <c r="E55" s="24"/>
      <c r="F55" s="24" t="s">
        <v>19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x14ac:dyDescent="0.2">
      <c r="A56" s="24" t="s">
        <v>20</v>
      </c>
      <c r="B56" s="24"/>
      <c r="C56" s="24"/>
      <c r="D56" s="24"/>
      <c r="E56" s="24"/>
      <c r="F56" s="25">
        <f>F36</f>
        <v>64</v>
      </c>
      <c r="G56" s="25">
        <f>G12*($F$56*(1+0.02*(G2-2024)))</f>
        <v>44251396.930505127</v>
      </c>
      <c r="H56" s="25">
        <f t="shared" ref="H56:P56" si="75">H12*($F$56*(1+0.02*(H2-2024)))</f>
        <v>51840000</v>
      </c>
      <c r="I56" s="25">
        <f t="shared" si="75"/>
        <v>52800000.000000007</v>
      </c>
      <c r="J56" s="25">
        <f t="shared" si="75"/>
        <v>53760000.000000007</v>
      </c>
      <c r="K56" s="25">
        <f t="shared" si="75"/>
        <v>54720000.000000007</v>
      </c>
      <c r="L56" s="25">
        <f t="shared" si="75"/>
        <v>55679999.999999993</v>
      </c>
      <c r="M56" s="25">
        <f t="shared" si="75"/>
        <v>56640000</v>
      </c>
      <c r="N56" s="25">
        <f t="shared" si="75"/>
        <v>57600000</v>
      </c>
      <c r="O56" s="25">
        <f t="shared" si="75"/>
        <v>58560000</v>
      </c>
      <c r="P56" s="25">
        <f t="shared" si="75"/>
        <v>59520000</v>
      </c>
      <c r="Q56" s="24"/>
    </row>
    <row r="57" spans="1:17" x14ac:dyDescent="0.2">
      <c r="A57" s="24" t="s">
        <v>79</v>
      </c>
      <c r="B57" s="24"/>
      <c r="C57" s="24"/>
      <c r="D57" s="24"/>
      <c r="E57" s="24"/>
      <c r="F57" s="25">
        <f>F37</f>
        <v>107.23583695223056</v>
      </c>
      <c r="G57" s="25">
        <f>G13*($F$57*(1+0.02*(G2-2024)))</f>
        <v>28417496.792341098</v>
      </c>
      <c r="H57" s="25">
        <f t="shared" ref="H57:P57" si="76">H13*($F$57*(1+0.02*(H2-2024)))</f>
        <v>0</v>
      </c>
      <c r="I57" s="25">
        <f t="shared" si="76"/>
        <v>0</v>
      </c>
      <c r="J57" s="25">
        <f t="shared" si="76"/>
        <v>0</v>
      </c>
      <c r="K57" s="25">
        <f t="shared" si="76"/>
        <v>0</v>
      </c>
      <c r="L57" s="25">
        <f t="shared" si="76"/>
        <v>0</v>
      </c>
      <c r="M57" s="25">
        <f t="shared" si="76"/>
        <v>0</v>
      </c>
      <c r="N57" s="25">
        <f t="shared" si="76"/>
        <v>0</v>
      </c>
      <c r="O57" s="25">
        <f t="shared" si="76"/>
        <v>0</v>
      </c>
      <c r="P57" s="25">
        <f t="shared" si="76"/>
        <v>0</v>
      </c>
      <c r="Q57" s="24"/>
    </row>
    <row r="58" spans="1:17" x14ac:dyDescent="0.2">
      <c r="A58" s="24" t="s">
        <v>21</v>
      </c>
      <c r="B58" s="24"/>
      <c r="C58" s="24"/>
      <c r="D58" s="24"/>
      <c r="E58" s="24"/>
      <c r="F58" s="25">
        <f>F38</f>
        <v>171</v>
      </c>
      <c r="G58" s="25">
        <f>G14*($F$58*(1+0.02*(G2-2024)))</f>
        <v>0</v>
      </c>
      <c r="H58" s="25">
        <f t="shared" ref="H58:P58" si="77">H14*($F$58*(1+0.02*(H2-2024)))</f>
        <v>26253877.933818255</v>
      </c>
      <c r="I58" s="25">
        <f t="shared" si="77"/>
        <v>24819317.0881209</v>
      </c>
      <c r="J58" s="25">
        <f t="shared" si="77"/>
        <v>23301338.867666505</v>
      </c>
      <c r="K58" s="25">
        <f t="shared" si="77"/>
        <v>21700813.948408343</v>
      </c>
      <c r="L58" s="25">
        <f t="shared" si="77"/>
        <v>20018659.796554685</v>
      </c>
      <c r="M58" s="25">
        <f t="shared" si="77"/>
        <v>18255837.173863906</v>
      </c>
      <c r="N58" s="25">
        <f t="shared" si="77"/>
        <v>16413346.797065677</v>
      </c>
      <c r="O58" s="25">
        <f t="shared" si="77"/>
        <v>14492226.14579702</v>
      </c>
      <c r="P58" s="25">
        <f t="shared" si="77"/>
        <v>12493546.413625296</v>
      </c>
      <c r="Q58" s="24"/>
    </row>
    <row r="59" spans="1:17" x14ac:dyDescent="0.2">
      <c r="A59" s="23" t="s">
        <v>22</v>
      </c>
      <c r="B59" s="23"/>
      <c r="C59" s="23"/>
      <c r="D59" s="23"/>
      <c r="E59" s="23"/>
      <c r="F59" s="23"/>
      <c r="G59" s="27">
        <f>SUM(G56:G58)</f>
        <v>72668893.722846225</v>
      </c>
      <c r="H59" s="27">
        <f t="shared" ref="H59" si="78">SUM(H56:H58)</f>
        <v>78093877.933818251</v>
      </c>
      <c r="I59" s="27">
        <f t="shared" ref="I59" si="79">SUM(I56:I58)</f>
        <v>77619317.088120908</v>
      </c>
      <c r="J59" s="27">
        <f t="shared" ref="J59" si="80">SUM(J56:J58)</f>
        <v>77061338.867666513</v>
      </c>
      <c r="K59" s="27">
        <f t="shared" ref="K59" si="81">SUM(K56:K58)</f>
        <v>76420813.94840835</v>
      </c>
      <c r="L59" s="27">
        <f t="shared" ref="L59" si="82">SUM(L56:L58)</f>
        <v>75698659.796554685</v>
      </c>
      <c r="M59" s="27">
        <f t="shared" ref="M59" si="83">SUM(M56:M58)</f>
        <v>74895837.173863903</v>
      </c>
      <c r="N59" s="27">
        <f t="shared" ref="N59" si="84">SUM(N56:N58)</f>
        <v>74013346.797065675</v>
      </c>
      <c r="O59" s="27">
        <f t="shared" ref="O59" si="85">SUM(O56:O58)</f>
        <v>73052226.145797014</v>
      </c>
      <c r="P59" s="27">
        <f t="shared" ref="P59" si="86">SUM(P56:P58)</f>
        <v>72013546.4136253</v>
      </c>
      <c r="Q59" s="37" t="s">
        <v>23</v>
      </c>
    </row>
    <row r="60" spans="1:17" x14ac:dyDescent="0.2">
      <c r="A60" s="23" t="s">
        <v>26</v>
      </c>
      <c r="H60" s="24"/>
      <c r="I60" s="24"/>
      <c r="J60" s="24"/>
      <c r="K60" s="24"/>
      <c r="L60" s="24"/>
      <c r="M60" s="24"/>
      <c r="N60" s="24"/>
      <c r="O60" s="24"/>
      <c r="Q60" s="27">
        <f>SUM(G59:P59)</f>
        <v>751537857.88776684</v>
      </c>
    </row>
    <row r="61" spans="1:17" x14ac:dyDescent="0.2">
      <c r="A61" s="24" t="s">
        <v>86</v>
      </c>
      <c r="B61" s="24"/>
      <c r="C61" s="24"/>
      <c r="D61" s="24"/>
      <c r="E61" s="24">
        <v>0</v>
      </c>
      <c r="F61" s="24"/>
      <c r="G61" s="28">
        <f>E61/20</f>
        <v>0</v>
      </c>
      <c r="H61" s="28">
        <f>G61</f>
        <v>0</v>
      </c>
      <c r="I61" s="28">
        <f t="shared" ref="I61:P61" si="87">H61</f>
        <v>0</v>
      </c>
      <c r="J61" s="28">
        <f t="shared" si="87"/>
        <v>0</v>
      </c>
      <c r="K61" s="28">
        <f t="shared" si="87"/>
        <v>0</v>
      </c>
      <c r="L61" s="28">
        <f t="shared" si="87"/>
        <v>0</v>
      </c>
      <c r="M61" s="28">
        <f t="shared" si="87"/>
        <v>0</v>
      </c>
      <c r="N61" s="28">
        <f t="shared" si="87"/>
        <v>0</v>
      </c>
      <c r="O61" s="28">
        <f t="shared" si="87"/>
        <v>0</v>
      </c>
      <c r="P61" s="28">
        <f t="shared" si="87"/>
        <v>0</v>
      </c>
      <c r="Q61" s="24"/>
    </row>
    <row r="62" spans="1:17" x14ac:dyDescent="0.2">
      <c r="A62" s="23" t="s">
        <v>25</v>
      </c>
      <c r="B62" s="24"/>
      <c r="C62" s="24"/>
      <c r="D62" s="24"/>
      <c r="E62" s="24"/>
      <c r="F62" s="24"/>
      <c r="G62" s="29">
        <f>SUM(G61+G59)</f>
        <v>72668893.722846225</v>
      </c>
      <c r="H62" s="29">
        <f t="shared" ref="H62" si="88">SUM(H61+H59)</f>
        <v>78093877.933818251</v>
      </c>
      <c r="I62" s="29">
        <f t="shared" ref="I62" si="89">SUM(I61+I59)</f>
        <v>77619317.088120908</v>
      </c>
      <c r="J62" s="29">
        <f t="shared" ref="J62" si="90">SUM(J61+J59)</f>
        <v>77061338.867666513</v>
      </c>
      <c r="K62" s="29">
        <f t="shared" ref="K62" si="91">SUM(K61+K59)</f>
        <v>76420813.94840835</v>
      </c>
      <c r="L62" s="29">
        <f t="shared" ref="L62" si="92">SUM(L61+L59)</f>
        <v>75698659.796554685</v>
      </c>
      <c r="M62" s="29">
        <f t="shared" ref="M62" si="93">SUM(M61+M59)</f>
        <v>74895837.173863903</v>
      </c>
      <c r="N62" s="29">
        <f t="shared" ref="N62" si="94">SUM(N61+N59)</f>
        <v>74013346.797065675</v>
      </c>
      <c r="O62" s="29">
        <f t="shared" ref="O62" si="95">SUM(O61+O59)</f>
        <v>73052226.145797014</v>
      </c>
      <c r="P62" s="29">
        <f t="shared" ref="P62" si="96">SUM(P61+P59)</f>
        <v>72013546.4136253</v>
      </c>
    </row>
    <row r="63" spans="1:17" x14ac:dyDescent="0.2">
      <c r="A63" s="16" t="s">
        <v>27</v>
      </c>
      <c r="Q63" s="27">
        <f>SUM(G62:P62)</f>
        <v>751537857.88776684</v>
      </c>
    </row>
    <row r="64" spans="1:17" x14ac:dyDescent="0.2">
      <c r="A64" s="16"/>
      <c r="P64" s="27"/>
    </row>
    <row r="65" spans="1:17" x14ac:dyDescent="0.2">
      <c r="A65" s="23" t="s">
        <v>30</v>
      </c>
      <c r="B65" s="23"/>
      <c r="C65" s="23"/>
      <c r="D65" s="24"/>
      <c r="E65" s="24"/>
      <c r="F65" s="24" t="s">
        <v>29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1:17" x14ac:dyDescent="0.2">
      <c r="A66" s="24" t="s">
        <v>20</v>
      </c>
      <c r="B66" s="24"/>
      <c r="C66" s="24"/>
      <c r="D66" s="24"/>
      <c r="E66" s="24"/>
      <c r="F66" s="25">
        <f>F45</f>
        <v>37.686075870602117</v>
      </c>
      <c r="G66" s="25">
        <f t="shared" ref="G66:P66" si="97">G12*($F$45*(1+0.02*(G2-2022)))</f>
        <v>27040501.9503753</v>
      </c>
      <c r="H66" s="25">
        <f t="shared" si="97"/>
        <v>31656303.731305778</v>
      </c>
      <c r="I66" s="25">
        <f t="shared" si="97"/>
        <v>32221594.869364813</v>
      </c>
      <c r="J66" s="25">
        <f t="shared" si="97"/>
        <v>32786886.007423837</v>
      </c>
      <c r="K66" s="25">
        <f t="shared" si="97"/>
        <v>33352177.145482872</v>
      </c>
      <c r="L66" s="25">
        <f t="shared" si="97"/>
        <v>33917468.283541903</v>
      </c>
      <c r="M66" s="25">
        <f t="shared" si="97"/>
        <v>34482759.421600938</v>
      </c>
      <c r="N66" s="25">
        <f t="shared" si="97"/>
        <v>35048050.559659965</v>
      </c>
      <c r="O66" s="25">
        <f t="shared" si="97"/>
        <v>35613341.697719</v>
      </c>
      <c r="P66" s="25">
        <f t="shared" si="97"/>
        <v>36178632.835778035</v>
      </c>
      <c r="Q66" s="24"/>
    </row>
    <row r="67" spans="1:17" x14ac:dyDescent="0.2">
      <c r="A67" s="24" t="s">
        <v>79</v>
      </c>
      <c r="B67" s="24"/>
      <c r="C67" s="24"/>
      <c r="D67" s="24"/>
      <c r="E67" s="24"/>
      <c r="F67" s="25">
        <f>F46</f>
        <v>78.280771161677052</v>
      </c>
      <c r="G67" s="25">
        <f t="shared" ref="G67:P67" si="98">G13*($F$46*(1+0.02*(G2-2022)))</f>
        <v>21527212.069461189</v>
      </c>
      <c r="H67" s="25">
        <f t="shared" si="98"/>
        <v>0</v>
      </c>
      <c r="I67" s="25">
        <f t="shared" si="98"/>
        <v>0</v>
      </c>
      <c r="J67" s="25">
        <f t="shared" si="98"/>
        <v>0</v>
      </c>
      <c r="K67" s="25">
        <f t="shared" si="98"/>
        <v>0</v>
      </c>
      <c r="L67" s="25">
        <f t="shared" si="98"/>
        <v>0</v>
      </c>
      <c r="M67" s="25">
        <f t="shared" si="98"/>
        <v>0</v>
      </c>
      <c r="N67" s="25">
        <f t="shared" si="98"/>
        <v>0</v>
      </c>
      <c r="O67" s="25">
        <f t="shared" si="98"/>
        <v>0</v>
      </c>
      <c r="P67" s="25">
        <f t="shared" si="98"/>
        <v>0</v>
      </c>
      <c r="Q67" s="24"/>
    </row>
    <row r="68" spans="1:17" x14ac:dyDescent="0.2">
      <c r="A68" s="24" t="s">
        <v>21</v>
      </c>
      <c r="B68" s="24"/>
      <c r="C68" s="24"/>
      <c r="D68" s="24"/>
      <c r="E68" s="24"/>
      <c r="F68" s="25">
        <f>F47</f>
        <v>117.41999999999999</v>
      </c>
      <c r="G68" s="25">
        <f t="shared" ref="G68:P68" si="99">G14*($F$47*(1+0.02*(G2-2022)))</f>
        <v>0</v>
      </c>
      <c r="H68" s="25">
        <f t="shared" si="99"/>
        <v>18695354.064477</v>
      </c>
      <c r="I68" s="25">
        <f t="shared" si="99"/>
        <v>17662328.560528219</v>
      </c>
      <c r="J68" s="25">
        <f t="shared" si="99"/>
        <v>16571690.28517139</v>
      </c>
      <c r="K68" s="25">
        <f t="shared" si="99"/>
        <v>15424075.598184498</v>
      </c>
      <c r="L68" s="25">
        <f t="shared" si="99"/>
        <v>14220151.441690566</v>
      </c>
      <c r="M68" s="25">
        <f t="shared" si="99"/>
        <v>12960612.99021321</v>
      </c>
      <c r="N68" s="25">
        <f t="shared" si="99"/>
        <v>11646181.405117935</v>
      </c>
      <c r="O68" s="25">
        <f t="shared" si="99"/>
        <v>10277601.689625885</v>
      </c>
      <c r="P68" s="25">
        <f t="shared" si="99"/>
        <v>8855640.6407116074</v>
      </c>
      <c r="Q68" s="24"/>
    </row>
    <row r="69" spans="1:17" x14ac:dyDescent="0.2">
      <c r="A69" s="23" t="s">
        <v>22</v>
      </c>
      <c r="B69" s="23"/>
      <c r="C69" s="23"/>
      <c r="D69" s="23"/>
      <c r="E69" s="23"/>
      <c r="F69" s="23"/>
      <c r="G69" s="27">
        <f>SUM(G66:G68)</f>
        <v>48567714.019836485</v>
      </c>
      <c r="H69" s="27">
        <f t="shared" ref="H69" si="100">SUM(H66:H68)</f>
        <v>50351657.795782775</v>
      </c>
      <c r="I69" s="27">
        <f t="shared" ref="I69" si="101">SUM(I66:I68)</f>
        <v>49883923.429893032</v>
      </c>
      <c r="J69" s="27">
        <f t="shared" ref="J69" si="102">SUM(J66:J68)</f>
        <v>49358576.292595223</v>
      </c>
      <c r="K69" s="27">
        <f t="shared" ref="K69" si="103">SUM(K66:K68)</f>
        <v>48776252.743667372</v>
      </c>
      <c r="L69" s="27">
        <f t="shared" ref="L69" si="104">SUM(L66:L68)</f>
        <v>48137619.725232467</v>
      </c>
      <c r="M69" s="27">
        <f t="shared" ref="M69" si="105">SUM(M66:M68)</f>
        <v>47443372.411814146</v>
      </c>
      <c r="N69" s="27">
        <f t="shared" ref="N69" si="106">SUM(N66:N68)</f>
        <v>46694231.964777902</v>
      </c>
      <c r="O69" s="27">
        <f t="shared" ref="O69" si="107">SUM(O66:O68)</f>
        <v>45890943.387344882</v>
      </c>
      <c r="P69" s="27">
        <f t="shared" ref="P69" si="108">SUM(P66:P68)</f>
        <v>45034273.476489641</v>
      </c>
      <c r="Q69" s="37" t="s">
        <v>23</v>
      </c>
    </row>
    <row r="70" spans="1:17" x14ac:dyDescent="0.2">
      <c r="A70" s="23" t="s">
        <v>26</v>
      </c>
      <c r="H70" s="24"/>
      <c r="I70" s="24"/>
      <c r="J70" s="24"/>
      <c r="K70" s="24"/>
      <c r="L70" s="24"/>
      <c r="M70" s="24"/>
      <c r="N70" s="24"/>
      <c r="O70" s="24"/>
      <c r="Q70" s="27">
        <f>SUM(G69:P69)</f>
        <v>480138565.24743396</v>
      </c>
    </row>
    <row r="71" spans="1:17" x14ac:dyDescent="0.2">
      <c r="A71" s="24" t="s">
        <v>86</v>
      </c>
      <c r="B71" s="24"/>
      <c r="C71" s="24"/>
      <c r="D71" s="24"/>
      <c r="E71" s="24">
        <v>0</v>
      </c>
      <c r="F71" s="24"/>
      <c r="G71" s="28">
        <f>E71/20</f>
        <v>0</v>
      </c>
      <c r="H71" s="28">
        <f>G71</f>
        <v>0</v>
      </c>
      <c r="I71" s="28">
        <f t="shared" ref="I71:P71" si="109">H71</f>
        <v>0</v>
      </c>
      <c r="J71" s="28">
        <f t="shared" si="109"/>
        <v>0</v>
      </c>
      <c r="K71" s="28">
        <f t="shared" si="109"/>
        <v>0</v>
      </c>
      <c r="L71" s="28">
        <f t="shared" si="109"/>
        <v>0</v>
      </c>
      <c r="M71" s="28">
        <f t="shared" si="109"/>
        <v>0</v>
      </c>
      <c r="N71" s="28">
        <f t="shared" si="109"/>
        <v>0</v>
      </c>
      <c r="O71" s="28">
        <f t="shared" si="109"/>
        <v>0</v>
      </c>
      <c r="P71" s="28">
        <f t="shared" si="109"/>
        <v>0</v>
      </c>
      <c r="Q71" s="24"/>
    </row>
    <row r="72" spans="1:17" x14ac:dyDescent="0.2">
      <c r="A72" s="23" t="s">
        <v>25</v>
      </c>
      <c r="B72" s="24"/>
      <c r="C72" s="24"/>
      <c r="D72" s="24"/>
      <c r="E72" s="24"/>
      <c r="F72" s="24"/>
      <c r="G72" s="29">
        <f>SUM(G71+G69)</f>
        <v>48567714.019836485</v>
      </c>
      <c r="H72" s="29">
        <f t="shared" ref="H72" si="110">SUM(H71+H69)</f>
        <v>50351657.795782775</v>
      </c>
      <c r="I72" s="29">
        <f t="shared" ref="I72" si="111">SUM(I71+I69)</f>
        <v>49883923.429893032</v>
      </c>
      <c r="J72" s="29">
        <f t="shared" ref="J72" si="112">SUM(J71+J69)</f>
        <v>49358576.292595223</v>
      </c>
      <c r="K72" s="29">
        <f t="shared" ref="K72" si="113">SUM(K71+K69)</f>
        <v>48776252.743667372</v>
      </c>
      <c r="L72" s="29">
        <f t="shared" ref="L72" si="114">SUM(L71+L69)</f>
        <v>48137619.725232467</v>
      </c>
      <c r="M72" s="29">
        <f t="shared" ref="M72" si="115">SUM(M71+M69)</f>
        <v>47443372.411814146</v>
      </c>
      <c r="N72" s="29">
        <f t="shared" ref="N72" si="116">SUM(N71+N69)</f>
        <v>46694231.964777902</v>
      </c>
      <c r="O72" s="29">
        <f t="shared" ref="O72" si="117">SUM(O71+O69)</f>
        <v>45890943.387344882</v>
      </c>
      <c r="P72" s="29">
        <f t="shared" ref="P72" si="118">SUM(P71+P69)</f>
        <v>45034273.476489641</v>
      </c>
    </row>
    <row r="73" spans="1:17" x14ac:dyDescent="0.2">
      <c r="A73" s="16" t="s">
        <v>27</v>
      </c>
      <c r="Q73" s="27">
        <f>SUM(G72:P72)</f>
        <v>480138565.24743396</v>
      </c>
    </row>
    <row r="74" spans="1:17" s="44" customFormat="1" x14ac:dyDescent="0.2"/>
    <row r="75" spans="1:17" x14ac:dyDescent="0.2">
      <c r="A75" s="16" t="s">
        <v>16</v>
      </c>
    </row>
    <row r="76" spans="1:17" x14ac:dyDescent="0.2">
      <c r="A76" s="23" t="s">
        <v>34</v>
      </c>
      <c r="B76" s="23"/>
      <c r="C76" s="23"/>
      <c r="D76" s="24"/>
      <c r="E76" s="24"/>
      <c r="F76" s="24" t="s">
        <v>19</v>
      </c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1:17" x14ac:dyDescent="0.2">
      <c r="A77" s="24" t="s">
        <v>20</v>
      </c>
      <c r="B77" s="24"/>
      <c r="C77" s="24"/>
      <c r="D77" s="24"/>
      <c r="E77" s="24"/>
      <c r="F77" s="25">
        <f>F36</f>
        <v>64</v>
      </c>
      <c r="G77" s="25">
        <f>G19*($F$77*(1+0.02*(G2-2024)))</f>
        <v>44299520</v>
      </c>
      <c r="H77" s="25">
        <f t="shared" ref="H77:P77" si="119">H19*($F$77*(1+0.02*(H2-2024)))</f>
        <v>51840000</v>
      </c>
      <c r="I77" s="25">
        <f t="shared" si="119"/>
        <v>52800000.000000007</v>
      </c>
      <c r="J77" s="25">
        <f t="shared" si="119"/>
        <v>53760000.000000007</v>
      </c>
      <c r="K77" s="25">
        <f t="shared" si="119"/>
        <v>54650696.959873855</v>
      </c>
      <c r="L77" s="25">
        <f t="shared" si="119"/>
        <v>53003091.712754287</v>
      </c>
      <c r="M77" s="25">
        <f t="shared" si="119"/>
        <v>51357227.021014765</v>
      </c>
      <c r="N77" s="25">
        <f t="shared" si="119"/>
        <v>49715185.103581712</v>
      </c>
      <c r="O77" s="25">
        <f t="shared" si="119"/>
        <v>48078901.543033108</v>
      </c>
      <c r="P77" s="25">
        <f t="shared" si="119"/>
        <v>46450171.446839392</v>
      </c>
      <c r="Q77" s="24"/>
    </row>
    <row r="78" spans="1:17" x14ac:dyDescent="0.2">
      <c r="A78" s="24" t="s">
        <v>79</v>
      </c>
      <c r="B78" s="24"/>
      <c r="C78" s="24"/>
      <c r="D78" s="24"/>
      <c r="E78" s="24"/>
      <c r="F78" s="25">
        <f>F37</f>
        <v>107.23583695223056</v>
      </c>
      <c r="G78" s="25">
        <f>G20*($F$78*(1+0.02*(G2-2024)))</f>
        <v>28417496.792341098</v>
      </c>
      <c r="H78" s="25">
        <f t="shared" ref="H78:P78" si="120">H20*($F$78*(1+0.02*(H2-2024)))</f>
        <v>0</v>
      </c>
      <c r="I78" s="25">
        <f t="shared" si="120"/>
        <v>0</v>
      </c>
      <c r="J78" s="25">
        <f t="shared" si="120"/>
        <v>0</v>
      </c>
      <c r="K78" s="25">
        <f t="shared" si="120"/>
        <v>0</v>
      </c>
      <c r="L78" s="25">
        <f t="shared" si="120"/>
        <v>0</v>
      </c>
      <c r="M78" s="25">
        <f t="shared" si="120"/>
        <v>0</v>
      </c>
      <c r="N78" s="25">
        <f t="shared" si="120"/>
        <v>0</v>
      </c>
      <c r="O78" s="25">
        <f t="shared" si="120"/>
        <v>0</v>
      </c>
      <c r="P78" s="25">
        <f t="shared" si="120"/>
        <v>0</v>
      </c>
      <c r="Q78" s="24"/>
    </row>
    <row r="79" spans="1:17" x14ac:dyDescent="0.2">
      <c r="A79" s="24" t="s">
        <v>21</v>
      </c>
      <c r="B79" s="24"/>
      <c r="C79" s="24"/>
      <c r="D79" s="24"/>
      <c r="E79" s="24"/>
      <c r="F79" s="25">
        <f>F38</f>
        <v>171</v>
      </c>
      <c r="G79" s="25">
        <f>G21*($F$79*(1+0.02*(G2-2024)))</f>
        <v>0</v>
      </c>
      <c r="H79" s="25">
        <f t="shared" ref="H79:P79" si="121">H21*($F$79*(1+0.02*(H2-2024)))</f>
        <v>20682458.539995264</v>
      </c>
      <c r="I79" s="25">
        <f t="shared" si="121"/>
        <v>13738860.458688596</v>
      </c>
      <c r="J79" s="25">
        <f t="shared" si="121"/>
        <v>6780704.8915206706</v>
      </c>
      <c r="K79" s="25">
        <f t="shared" si="121"/>
        <v>0</v>
      </c>
      <c r="L79" s="25">
        <f t="shared" si="121"/>
        <v>0</v>
      </c>
      <c r="M79" s="25">
        <f t="shared" si="121"/>
        <v>0</v>
      </c>
      <c r="N79" s="25">
        <f t="shared" si="121"/>
        <v>0</v>
      </c>
      <c r="O79" s="25">
        <f t="shared" si="121"/>
        <v>0</v>
      </c>
      <c r="P79" s="25">
        <f t="shared" si="121"/>
        <v>0</v>
      </c>
      <c r="Q79" s="24" t="s">
        <v>36</v>
      </c>
    </row>
    <row r="80" spans="1:17" x14ac:dyDescent="0.2">
      <c r="A80" s="23" t="s">
        <v>22</v>
      </c>
      <c r="B80" s="23"/>
      <c r="C80" s="23"/>
      <c r="D80" s="23"/>
      <c r="E80" s="23"/>
      <c r="F80" s="23"/>
      <c r="G80" s="27">
        <f>SUM(G77:G79)</f>
        <v>72717016.792341098</v>
      </c>
      <c r="H80" s="27">
        <f t="shared" ref="H80" si="122">SUM(H77:H79)</f>
        <v>72522458.539995268</v>
      </c>
      <c r="I80" s="27">
        <f t="shared" ref="I80" si="123">SUM(I77:I79)</f>
        <v>66538860.458688602</v>
      </c>
      <c r="J80" s="27">
        <f t="shared" ref="J80" si="124">SUM(J77:J79)</f>
        <v>60540704.891520679</v>
      </c>
      <c r="K80" s="27">
        <f t="shared" ref="K80" si="125">SUM(K77:K79)</f>
        <v>54650696.959873855</v>
      </c>
      <c r="L80" s="27">
        <f t="shared" ref="L80" si="126">SUM(L77:L79)</f>
        <v>53003091.712754287</v>
      </c>
      <c r="M80" s="27">
        <f t="shared" ref="M80" si="127">SUM(M77:M79)</f>
        <v>51357227.021014765</v>
      </c>
      <c r="N80" s="27">
        <f t="shared" ref="N80" si="128">SUM(N77:N79)</f>
        <v>49715185.103581712</v>
      </c>
      <c r="O80" s="27">
        <f t="shared" ref="O80" si="129">SUM(O77:O79)</f>
        <v>48078901.543033108</v>
      </c>
      <c r="P80" s="27">
        <f t="shared" ref="P80" si="130">SUM(P77:P79)</f>
        <v>46450171.446839392</v>
      </c>
      <c r="Q80" s="37" t="s">
        <v>23</v>
      </c>
    </row>
    <row r="81" spans="1:17" x14ac:dyDescent="0.2">
      <c r="A81" s="23" t="s">
        <v>26</v>
      </c>
      <c r="H81" s="24"/>
      <c r="I81" s="24"/>
      <c r="J81" s="24"/>
      <c r="K81" s="24"/>
      <c r="L81" s="24"/>
      <c r="M81" s="24"/>
      <c r="N81" s="24"/>
      <c r="O81" s="24"/>
      <c r="Q81" s="27">
        <f>SUM(G80:P80)</f>
        <v>575574314.46964288</v>
      </c>
    </row>
    <row r="82" spans="1:17" x14ac:dyDescent="0.2">
      <c r="A82" s="24" t="s">
        <v>86</v>
      </c>
      <c r="B82" s="24"/>
      <c r="C82" s="24"/>
      <c r="D82" s="24"/>
      <c r="E82" s="24">
        <v>0</v>
      </c>
      <c r="F82" s="24"/>
      <c r="G82" s="28">
        <f>E82/20</f>
        <v>0</v>
      </c>
      <c r="H82" s="28">
        <f>G82</f>
        <v>0</v>
      </c>
      <c r="I82" s="28">
        <f t="shared" ref="I82:P82" si="131">H82</f>
        <v>0</v>
      </c>
      <c r="J82" s="28">
        <f t="shared" si="131"/>
        <v>0</v>
      </c>
      <c r="K82" s="28">
        <f t="shared" si="131"/>
        <v>0</v>
      </c>
      <c r="L82" s="28">
        <f t="shared" si="131"/>
        <v>0</v>
      </c>
      <c r="M82" s="28">
        <f t="shared" si="131"/>
        <v>0</v>
      </c>
      <c r="N82" s="28">
        <f t="shared" si="131"/>
        <v>0</v>
      </c>
      <c r="O82" s="28">
        <f t="shared" si="131"/>
        <v>0</v>
      </c>
      <c r="P82" s="28">
        <f t="shared" si="131"/>
        <v>0</v>
      </c>
      <c r="Q82" s="24"/>
    </row>
    <row r="83" spans="1:17" x14ac:dyDescent="0.2">
      <c r="A83" s="23" t="s">
        <v>25</v>
      </c>
      <c r="B83" s="24"/>
      <c r="C83" s="24"/>
      <c r="D83" s="24"/>
      <c r="E83" s="24"/>
      <c r="F83" s="24"/>
      <c r="G83" s="29">
        <f>SUM(G82+G80)</f>
        <v>72717016.792341098</v>
      </c>
      <c r="H83" s="29">
        <f t="shared" ref="H83" si="132">SUM(H82+H80)</f>
        <v>72522458.539995268</v>
      </c>
      <c r="I83" s="29">
        <f t="shared" ref="I83" si="133">SUM(I82+I80)</f>
        <v>66538860.458688602</v>
      </c>
      <c r="J83" s="29">
        <f t="shared" ref="J83" si="134">SUM(J82+J80)</f>
        <v>60540704.891520679</v>
      </c>
      <c r="K83" s="29">
        <f t="shared" ref="K83" si="135">SUM(K82+K80)</f>
        <v>54650696.959873855</v>
      </c>
      <c r="L83" s="29">
        <f t="shared" ref="L83" si="136">SUM(L82+L80)</f>
        <v>53003091.712754287</v>
      </c>
      <c r="M83" s="29">
        <f t="shared" ref="M83" si="137">SUM(M82+M80)</f>
        <v>51357227.021014765</v>
      </c>
      <c r="N83" s="29">
        <f t="shared" ref="N83" si="138">SUM(N82+N80)</f>
        <v>49715185.103581712</v>
      </c>
      <c r="O83" s="29">
        <f t="shared" ref="O83" si="139">SUM(O82+O80)</f>
        <v>48078901.543033108</v>
      </c>
      <c r="P83" s="29">
        <f t="shared" ref="P83" si="140">SUM(P82+P80)</f>
        <v>46450171.446839392</v>
      </c>
    </row>
    <row r="84" spans="1:17" x14ac:dyDescent="0.2">
      <c r="A84" s="16" t="s">
        <v>27</v>
      </c>
      <c r="Q84" s="27">
        <f>SUM(G83:P83)</f>
        <v>575574314.46964288</v>
      </c>
    </row>
    <row r="85" spans="1:17" x14ac:dyDescent="0.2">
      <c r="A85" s="16"/>
      <c r="P85" s="27"/>
    </row>
    <row r="86" spans="1:17" x14ac:dyDescent="0.2">
      <c r="A86" s="23" t="s">
        <v>35</v>
      </c>
      <c r="B86" s="23"/>
      <c r="C86" s="23"/>
      <c r="D86" s="24"/>
      <c r="E86" s="24"/>
      <c r="F86" s="24" t="s">
        <v>29</v>
      </c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1:17" x14ac:dyDescent="0.2">
      <c r="A87" s="24" t="s">
        <v>20</v>
      </c>
      <c r="B87" s="24"/>
      <c r="C87" s="24"/>
      <c r="D87" s="24"/>
      <c r="E87" s="24"/>
      <c r="F87" s="25">
        <f>F66</f>
        <v>37.686075870602117</v>
      </c>
      <c r="G87" s="25">
        <f t="shared" ref="G87:P87" si="141">G19*($F$45*(1+0.02*(G2-2022)))</f>
        <v>27069908.297853503</v>
      </c>
      <c r="H87" s="25">
        <f t="shared" si="141"/>
        <v>31656303.731305778</v>
      </c>
      <c r="I87" s="25">
        <f t="shared" si="141"/>
        <v>32221594.869364813</v>
      </c>
      <c r="J87" s="25">
        <f t="shared" si="141"/>
        <v>32786886.007423837</v>
      </c>
      <c r="K87" s="25">
        <f t="shared" si="141"/>
        <v>33309936.515530244</v>
      </c>
      <c r="L87" s="25">
        <f t="shared" si="141"/>
        <v>32286829.779041059</v>
      </c>
      <c r="M87" s="25">
        <f t="shared" si="141"/>
        <v>31266576.693612203</v>
      </c>
      <c r="N87" s="25">
        <f t="shared" si="141"/>
        <v>30250352.7967567</v>
      </c>
      <c r="O87" s="25">
        <f t="shared" si="141"/>
        <v>29239247.764737491</v>
      </c>
      <c r="P87" s="25">
        <f t="shared" si="141"/>
        <v>28234269.118517186</v>
      </c>
      <c r="Q87" s="24"/>
    </row>
    <row r="88" spans="1:17" x14ac:dyDescent="0.2">
      <c r="A88" s="24" t="s">
        <v>79</v>
      </c>
      <c r="B88" s="24"/>
      <c r="C88" s="24"/>
      <c r="D88" s="24"/>
      <c r="E88" s="24"/>
      <c r="F88" s="25">
        <f>F67</f>
        <v>78.280771161677052</v>
      </c>
      <c r="G88" s="25">
        <f t="shared" ref="G88:P88" si="142">G20*($F$46*(1+0.02*(G2-2022)))</f>
        <v>21527212.069461189</v>
      </c>
      <c r="H88" s="25">
        <f t="shared" si="142"/>
        <v>0</v>
      </c>
      <c r="I88" s="25">
        <f t="shared" si="142"/>
        <v>0</v>
      </c>
      <c r="J88" s="25">
        <f t="shared" si="142"/>
        <v>0</v>
      </c>
      <c r="K88" s="25">
        <f t="shared" si="142"/>
        <v>0</v>
      </c>
      <c r="L88" s="25">
        <f t="shared" si="142"/>
        <v>0</v>
      </c>
      <c r="M88" s="25">
        <f t="shared" si="142"/>
        <v>0</v>
      </c>
      <c r="N88" s="25">
        <f t="shared" si="142"/>
        <v>0</v>
      </c>
      <c r="O88" s="25">
        <f t="shared" si="142"/>
        <v>0</v>
      </c>
      <c r="P88" s="25">
        <f t="shared" si="142"/>
        <v>0</v>
      </c>
      <c r="Q88" s="24"/>
    </row>
    <row r="89" spans="1:17" x14ac:dyDescent="0.2">
      <c r="A89" s="24" t="s">
        <v>21</v>
      </c>
      <c r="B89" s="24"/>
      <c r="C89" s="24"/>
      <c r="D89" s="24"/>
      <c r="E89" s="24"/>
      <c r="F89" s="25">
        <f>F68</f>
        <v>117.41999999999999</v>
      </c>
      <c r="G89" s="25">
        <f t="shared" ref="G89:P89" si="143">G21*($F$47*(1+0.02*(G2-2022)))</f>
        <v>0</v>
      </c>
      <c r="H89" s="25">
        <f t="shared" si="143"/>
        <v>14727953.192431195</v>
      </c>
      <c r="I89" s="25">
        <f t="shared" si="143"/>
        <v>9777072.697328575</v>
      </c>
      <c r="J89" s="25">
        <f t="shared" si="143"/>
        <v>4822372.7407076759</v>
      </c>
      <c r="K89" s="25">
        <f t="shared" si="143"/>
        <v>0</v>
      </c>
      <c r="L89" s="25">
        <f t="shared" si="143"/>
        <v>0</v>
      </c>
      <c r="M89" s="25">
        <f t="shared" si="143"/>
        <v>0</v>
      </c>
      <c r="N89" s="25">
        <f t="shared" si="143"/>
        <v>0</v>
      </c>
      <c r="O89" s="25">
        <f t="shared" si="143"/>
        <v>0</v>
      </c>
      <c r="P89" s="25">
        <f t="shared" si="143"/>
        <v>0</v>
      </c>
      <c r="Q89" s="24" t="s">
        <v>37</v>
      </c>
    </row>
    <row r="90" spans="1:17" x14ac:dyDescent="0.2">
      <c r="A90" s="23" t="s">
        <v>22</v>
      </c>
      <c r="B90" s="23"/>
      <c r="C90" s="23"/>
      <c r="D90" s="23"/>
      <c r="E90" s="23"/>
      <c r="F90" s="23"/>
      <c r="G90" s="27">
        <f>SUM(G87:G89)</f>
        <v>48597120.367314696</v>
      </c>
      <c r="H90" s="27">
        <f t="shared" ref="H90" si="144">SUM(H87:H89)</f>
        <v>46384256.923736975</v>
      </c>
      <c r="I90" s="27">
        <f t="shared" ref="I90" si="145">SUM(I87:I89)</f>
        <v>41998667.566693388</v>
      </c>
      <c r="J90" s="27">
        <f t="shared" ref="J90" si="146">SUM(J87:J89)</f>
        <v>37609258.748131514</v>
      </c>
      <c r="K90" s="27">
        <f t="shared" ref="K90" si="147">SUM(K87:K89)</f>
        <v>33309936.515530244</v>
      </c>
      <c r="L90" s="27">
        <f t="shared" ref="L90" si="148">SUM(L87:L89)</f>
        <v>32286829.779041059</v>
      </c>
      <c r="M90" s="27">
        <f t="shared" ref="M90" si="149">SUM(M87:M89)</f>
        <v>31266576.693612203</v>
      </c>
      <c r="N90" s="27">
        <f t="shared" ref="N90" si="150">SUM(N87:N89)</f>
        <v>30250352.7967567</v>
      </c>
      <c r="O90" s="27">
        <f t="shared" ref="O90" si="151">SUM(O87:O89)</f>
        <v>29239247.764737491</v>
      </c>
      <c r="P90" s="27">
        <f t="shared" ref="P90" si="152">SUM(P87:P89)</f>
        <v>28234269.118517186</v>
      </c>
      <c r="Q90" s="37" t="s">
        <v>23</v>
      </c>
    </row>
    <row r="91" spans="1:17" x14ac:dyDescent="0.2">
      <c r="A91" s="23" t="s">
        <v>26</v>
      </c>
      <c r="H91" s="24"/>
      <c r="I91" s="24"/>
      <c r="J91" s="24"/>
      <c r="K91" s="24"/>
      <c r="L91" s="24"/>
      <c r="M91" s="24"/>
      <c r="N91" s="24"/>
      <c r="O91" s="24"/>
      <c r="Q91" s="27">
        <f>SUM(G90:P90)</f>
        <v>359176516.2740714</v>
      </c>
    </row>
    <row r="92" spans="1:17" x14ac:dyDescent="0.2">
      <c r="A92" s="24" t="s">
        <v>86</v>
      </c>
      <c r="B92" s="24"/>
      <c r="C92" s="24"/>
      <c r="D92" s="24"/>
      <c r="E92" s="24">
        <v>0</v>
      </c>
      <c r="F92" s="24"/>
      <c r="G92" s="28">
        <f>E92/20</f>
        <v>0</v>
      </c>
      <c r="H92" s="28">
        <f>G92</f>
        <v>0</v>
      </c>
      <c r="I92" s="28">
        <f t="shared" ref="I92:P92" si="153">H92</f>
        <v>0</v>
      </c>
      <c r="J92" s="28">
        <f t="shared" si="153"/>
        <v>0</v>
      </c>
      <c r="K92" s="28">
        <f t="shared" si="153"/>
        <v>0</v>
      </c>
      <c r="L92" s="28">
        <f t="shared" si="153"/>
        <v>0</v>
      </c>
      <c r="M92" s="28">
        <f t="shared" si="153"/>
        <v>0</v>
      </c>
      <c r="N92" s="28">
        <f t="shared" si="153"/>
        <v>0</v>
      </c>
      <c r="O92" s="28">
        <f t="shared" si="153"/>
        <v>0</v>
      </c>
      <c r="P92" s="28">
        <f t="shared" si="153"/>
        <v>0</v>
      </c>
      <c r="Q92" s="24"/>
    </row>
    <row r="93" spans="1:17" x14ac:dyDescent="0.2">
      <c r="A93" s="23" t="s">
        <v>25</v>
      </c>
      <c r="B93" s="24"/>
      <c r="C93" s="24"/>
      <c r="D93" s="24"/>
      <c r="E93" s="24"/>
      <c r="F93" s="24"/>
      <c r="G93" s="29">
        <f>SUM(G92+G90)</f>
        <v>48597120.367314696</v>
      </c>
      <c r="H93" s="29">
        <f t="shared" ref="H93" si="154">SUM(H92+H90)</f>
        <v>46384256.923736975</v>
      </c>
      <c r="I93" s="29">
        <f t="shared" ref="I93" si="155">SUM(I92+I90)</f>
        <v>41998667.566693388</v>
      </c>
      <c r="J93" s="29">
        <f t="shared" ref="J93" si="156">SUM(J92+J90)</f>
        <v>37609258.748131514</v>
      </c>
      <c r="K93" s="29">
        <f t="shared" ref="K93" si="157">SUM(K92+K90)</f>
        <v>33309936.515530244</v>
      </c>
      <c r="L93" s="29">
        <f t="shared" ref="L93" si="158">SUM(L92+L90)</f>
        <v>32286829.779041059</v>
      </c>
      <c r="M93" s="29">
        <f t="shared" ref="M93" si="159">SUM(M92+M90)</f>
        <v>31266576.693612203</v>
      </c>
      <c r="N93" s="29">
        <f t="shared" ref="N93" si="160">SUM(N92+N90)</f>
        <v>30250352.7967567</v>
      </c>
      <c r="O93" s="29">
        <f t="shared" ref="O93" si="161">SUM(O92+O90)</f>
        <v>29239247.764737491</v>
      </c>
      <c r="P93" s="29">
        <f t="shared" ref="P93" si="162">SUM(P92+P90)</f>
        <v>28234269.118517186</v>
      </c>
    </row>
    <row r="94" spans="1:17" x14ac:dyDescent="0.2">
      <c r="A94" s="16" t="s">
        <v>27</v>
      </c>
      <c r="Q94" s="27">
        <f>SUM(G93:P93)</f>
        <v>359176516.2740714</v>
      </c>
    </row>
    <row r="95" spans="1:17" s="44" customFormat="1" x14ac:dyDescent="0.2"/>
    <row r="96" spans="1:17" x14ac:dyDescent="0.2">
      <c r="A96" s="16" t="s">
        <v>144</v>
      </c>
    </row>
    <row r="97" spans="1:17" x14ac:dyDescent="0.2">
      <c r="A97" s="23" t="s">
        <v>146</v>
      </c>
      <c r="B97" s="23"/>
      <c r="C97" s="23"/>
      <c r="D97" s="24"/>
      <c r="E97" s="24"/>
      <c r="F97" s="24" t="s">
        <v>19</v>
      </c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x14ac:dyDescent="0.2">
      <c r="A98" s="24" t="s">
        <v>20</v>
      </c>
      <c r="B98" s="24"/>
      <c r="C98" s="24"/>
      <c r="D98" s="24"/>
      <c r="E98" s="24"/>
      <c r="F98" s="25">
        <f>F77</f>
        <v>64</v>
      </c>
      <c r="G98" s="25">
        <f>G27*($F$98*(1+0.02*(G2-2024)))</f>
        <v>44299520</v>
      </c>
      <c r="H98" s="25">
        <f t="shared" ref="H98:P98" si="163">H27*($F$98*(1+0.02*(H2-2024)))</f>
        <v>42300803.196255542</v>
      </c>
      <c r="I98" s="25">
        <f t="shared" si="163"/>
        <v>40342029.645357139</v>
      </c>
      <c r="J98" s="25">
        <f t="shared" si="163"/>
        <v>38377807.678697795</v>
      </c>
      <c r="K98" s="25">
        <f t="shared" si="163"/>
        <v>36410696.959873855</v>
      </c>
      <c r="L98" s="25">
        <f t="shared" si="163"/>
        <v>34443091.712754287</v>
      </c>
      <c r="M98" s="25">
        <f t="shared" si="163"/>
        <v>32477227.021014761</v>
      </c>
      <c r="N98" s="25">
        <f t="shared" si="163"/>
        <v>30515185.103581712</v>
      </c>
      <c r="O98" s="25">
        <f t="shared" si="163"/>
        <v>28558901.543033108</v>
      </c>
      <c r="P98" s="25">
        <f t="shared" si="163"/>
        <v>26610171.446839388</v>
      </c>
      <c r="Q98" s="24"/>
    </row>
    <row r="99" spans="1:17" x14ac:dyDescent="0.2">
      <c r="A99" s="24" t="s">
        <v>79</v>
      </c>
      <c r="B99" s="24"/>
      <c r="C99" s="24"/>
      <c r="D99" s="24"/>
      <c r="E99" s="24"/>
      <c r="F99" s="25">
        <f>F78</f>
        <v>107.23583695223056</v>
      </c>
      <c r="G99" s="25">
        <f>G28*($F$99*(1+0.02*(G2-2024)))</f>
        <v>28417496.792341098</v>
      </c>
      <c r="H99" s="25">
        <f t="shared" ref="H99:P99" si="164">H28*($F$99*(1+0.02*(H2-2024)))</f>
        <v>28953675.977102254</v>
      </c>
      <c r="I99" s="25">
        <f t="shared" si="164"/>
        <v>29489855.161863405</v>
      </c>
      <c r="J99" s="25">
        <f t="shared" si="164"/>
        <v>30026034.346624561</v>
      </c>
      <c r="K99" s="25">
        <f t="shared" si="164"/>
        <v>30562213.531385712</v>
      </c>
      <c r="L99" s="25">
        <f t="shared" si="164"/>
        <v>31098392.716146857</v>
      </c>
      <c r="M99" s="25">
        <f t="shared" si="164"/>
        <v>31634571.900908016</v>
      </c>
      <c r="N99" s="25">
        <f t="shared" si="164"/>
        <v>32170751.085669167</v>
      </c>
      <c r="O99" s="25">
        <f t="shared" si="164"/>
        <v>32706930.270430319</v>
      </c>
      <c r="P99" s="25">
        <f t="shared" si="164"/>
        <v>33243109.455191471</v>
      </c>
      <c r="Q99" s="24"/>
    </row>
    <row r="100" spans="1:17" x14ac:dyDescent="0.2">
      <c r="A100" s="24" t="s">
        <v>21</v>
      </c>
      <c r="B100" s="24"/>
      <c r="C100" s="24"/>
      <c r="D100" s="24"/>
      <c r="E100" s="24"/>
      <c r="F100" s="25">
        <f>F79</f>
        <v>171</v>
      </c>
      <c r="G100" s="25">
        <f>G29*($F$100*(1+0.02*(G2-2024)))</f>
        <v>0</v>
      </c>
      <c r="H100" s="25">
        <f t="shared" ref="H100:P100" si="165">H29*($F$100*(1+0.02*(H2-2024)))</f>
        <v>0</v>
      </c>
      <c r="I100" s="25">
        <f t="shared" si="165"/>
        <v>0</v>
      </c>
      <c r="J100" s="25">
        <f t="shared" si="165"/>
        <v>0</v>
      </c>
      <c r="K100" s="25">
        <f t="shared" si="165"/>
        <v>0</v>
      </c>
      <c r="L100" s="25">
        <f t="shared" si="165"/>
        <v>0</v>
      </c>
      <c r="M100" s="25">
        <f t="shared" si="165"/>
        <v>0</v>
      </c>
      <c r="N100" s="25">
        <f t="shared" si="165"/>
        <v>0</v>
      </c>
      <c r="O100" s="25">
        <f t="shared" si="165"/>
        <v>0</v>
      </c>
      <c r="P100" s="25">
        <f t="shared" si="165"/>
        <v>0</v>
      </c>
      <c r="Q100" s="24" t="s">
        <v>36</v>
      </c>
    </row>
    <row r="101" spans="1:17" x14ac:dyDescent="0.2">
      <c r="A101" s="23" t="s">
        <v>22</v>
      </c>
      <c r="B101" s="23"/>
      <c r="C101" s="23"/>
      <c r="D101" s="23"/>
      <c r="E101" s="23"/>
      <c r="F101" s="23"/>
      <c r="G101" s="27">
        <f>SUM(G98:G100)</f>
        <v>72717016.792341098</v>
      </c>
      <c r="H101" s="27">
        <f t="shared" ref="H101:P101" si="166">SUM(H98:H100)</f>
        <v>71254479.1733578</v>
      </c>
      <c r="I101" s="27">
        <f t="shared" si="166"/>
        <v>69831884.807220548</v>
      </c>
      <c r="J101" s="27">
        <f t="shared" si="166"/>
        <v>68403842.025322348</v>
      </c>
      <c r="K101" s="27">
        <f t="shared" si="166"/>
        <v>66972910.491259567</v>
      </c>
      <c r="L101" s="27">
        <f t="shared" si="166"/>
        <v>65541484.428901143</v>
      </c>
      <c r="M101" s="27">
        <f t="shared" si="166"/>
        <v>64111798.921922773</v>
      </c>
      <c r="N101" s="27">
        <f t="shared" si="166"/>
        <v>62685936.189250879</v>
      </c>
      <c r="O101" s="27">
        <f t="shared" si="166"/>
        <v>61265831.813463427</v>
      </c>
      <c r="P101" s="27">
        <f t="shared" si="166"/>
        <v>59853280.902030855</v>
      </c>
      <c r="Q101" s="37" t="s">
        <v>23</v>
      </c>
    </row>
    <row r="102" spans="1:17" x14ac:dyDescent="0.2">
      <c r="A102" s="23" t="s">
        <v>26</v>
      </c>
      <c r="H102" s="24"/>
      <c r="I102" s="24"/>
      <c r="J102" s="24"/>
      <c r="K102" s="24"/>
      <c r="L102" s="24"/>
      <c r="M102" s="24"/>
      <c r="N102" s="24"/>
      <c r="O102" s="24"/>
      <c r="Q102" s="27">
        <f>SUM(G101:P101)</f>
        <v>662638465.54507041</v>
      </c>
    </row>
    <row r="103" spans="1:17" x14ac:dyDescent="0.2">
      <c r="A103" s="24" t="s">
        <v>86</v>
      </c>
      <c r="B103" s="24"/>
      <c r="C103" s="24"/>
      <c r="D103" s="24"/>
      <c r="E103" s="25">
        <f>E50</f>
        <v>220000000</v>
      </c>
      <c r="F103" s="24"/>
      <c r="G103" s="28">
        <f>E103/20</f>
        <v>11000000</v>
      </c>
      <c r="H103" s="28">
        <f>G103</f>
        <v>11000000</v>
      </c>
      <c r="I103" s="28">
        <f t="shared" ref="I103" si="167">H103</f>
        <v>11000000</v>
      </c>
      <c r="J103" s="28">
        <f t="shared" ref="J103" si="168">I103</f>
        <v>11000000</v>
      </c>
      <c r="K103" s="28">
        <f t="shared" ref="K103" si="169">J103</f>
        <v>11000000</v>
      </c>
      <c r="L103" s="28">
        <f t="shared" ref="L103" si="170">K103</f>
        <v>11000000</v>
      </c>
      <c r="M103" s="28">
        <f t="shared" ref="M103" si="171">L103</f>
        <v>11000000</v>
      </c>
      <c r="N103" s="28">
        <f t="shared" ref="N103" si="172">M103</f>
        <v>11000000</v>
      </c>
      <c r="O103" s="28">
        <f t="shared" ref="O103" si="173">N103</f>
        <v>11000000</v>
      </c>
      <c r="P103" s="28">
        <f t="shared" ref="P103" si="174">O103</f>
        <v>11000000</v>
      </c>
      <c r="Q103" s="24"/>
    </row>
    <row r="104" spans="1:17" x14ac:dyDescent="0.2">
      <c r="A104" s="23" t="s">
        <v>25</v>
      </c>
      <c r="B104" s="24"/>
      <c r="C104" s="24"/>
      <c r="D104" s="24"/>
      <c r="E104" s="24"/>
      <c r="F104" s="24"/>
      <c r="G104" s="29">
        <f>SUM(G103+G101)</f>
        <v>83717016.792341098</v>
      </c>
      <c r="H104" s="29">
        <f t="shared" ref="H104:P104" si="175">SUM(H103+H101)</f>
        <v>82254479.1733578</v>
      </c>
      <c r="I104" s="29">
        <f t="shared" si="175"/>
        <v>80831884.807220548</v>
      </c>
      <c r="J104" s="29">
        <f t="shared" si="175"/>
        <v>79403842.025322348</v>
      </c>
      <c r="K104" s="29">
        <f t="shared" si="175"/>
        <v>77972910.491259575</v>
      </c>
      <c r="L104" s="29">
        <f t="shared" si="175"/>
        <v>76541484.428901136</v>
      </c>
      <c r="M104" s="29">
        <f t="shared" si="175"/>
        <v>75111798.921922773</v>
      </c>
      <c r="N104" s="29">
        <f t="shared" si="175"/>
        <v>73685936.189250886</v>
      </c>
      <c r="O104" s="29">
        <f t="shared" si="175"/>
        <v>72265831.81346342</v>
      </c>
      <c r="P104" s="29">
        <f t="shared" si="175"/>
        <v>70853280.902030855</v>
      </c>
    </row>
    <row r="105" spans="1:17" x14ac:dyDescent="0.2">
      <c r="A105" s="16" t="s">
        <v>27</v>
      </c>
      <c r="Q105" s="27">
        <f>SUM(G104:P104)</f>
        <v>772638465.54507053</v>
      </c>
    </row>
    <row r="106" spans="1:17" x14ac:dyDescent="0.2">
      <c r="A106" s="16"/>
      <c r="P106" s="27"/>
    </row>
    <row r="107" spans="1:17" x14ac:dyDescent="0.2">
      <c r="A107" s="23" t="s">
        <v>147</v>
      </c>
      <c r="B107" s="23"/>
      <c r="C107" s="23"/>
      <c r="D107" s="24"/>
      <c r="E107" s="24"/>
      <c r="F107" s="24" t="s">
        <v>29</v>
      </c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</row>
    <row r="108" spans="1:17" x14ac:dyDescent="0.2">
      <c r="A108" s="24" t="s">
        <v>20</v>
      </c>
      <c r="B108" s="24"/>
      <c r="C108" s="24"/>
      <c r="D108" s="24"/>
      <c r="E108" s="24"/>
      <c r="F108" s="25">
        <f>F87</f>
        <v>37.686075870602117</v>
      </c>
      <c r="G108" s="25">
        <f>G27*($F$108*(1+0.02*(G2-2022)))</f>
        <v>27069908.297853503</v>
      </c>
      <c r="H108" s="25">
        <f t="shared" ref="H108:P108" si="176">H27*($F$108*(1+0.02*(H2-2022)))</f>
        <v>25831154.977987185</v>
      </c>
      <c r="I108" s="25">
        <f t="shared" si="176"/>
        <v>24619025.292435657</v>
      </c>
      <c r="J108" s="25">
        <f t="shared" si="176"/>
        <v>23405669.746582959</v>
      </c>
      <c r="K108" s="25">
        <f t="shared" si="176"/>
        <v>22192544.133702621</v>
      </c>
      <c r="L108" s="25">
        <f t="shared" si="176"/>
        <v>20981007.017860424</v>
      </c>
      <c r="M108" s="25">
        <f t="shared" si="176"/>
        <v>19772323.553078555</v>
      </c>
      <c r="N108" s="25">
        <f t="shared" si="176"/>
        <v>18567669.276870042</v>
      </c>
      <c r="O108" s="25">
        <f t="shared" si="176"/>
        <v>17368133.865497824</v>
      </c>
      <c r="P108" s="25">
        <f t="shared" si="176"/>
        <v>16174724.839924507</v>
      </c>
      <c r="Q108" s="24"/>
    </row>
    <row r="109" spans="1:17" x14ac:dyDescent="0.2">
      <c r="A109" s="24" t="s">
        <v>79</v>
      </c>
      <c r="B109" s="24"/>
      <c r="C109" s="24"/>
      <c r="D109" s="24"/>
      <c r="E109" s="24"/>
      <c r="F109" s="25">
        <f>F88</f>
        <v>78.280771161677052</v>
      </c>
      <c r="G109" s="25">
        <f>G28*($F$109*(1+0.02*(G2-2022)))</f>
        <v>21527212.069461189</v>
      </c>
      <c r="H109" s="25">
        <f t="shared" ref="H109:P109" si="177">H28*($F$109*(1+0.02*(H2-2022)))</f>
        <v>21918615.925269578</v>
      </c>
      <c r="I109" s="25">
        <f t="shared" si="177"/>
        <v>22310019.781077962</v>
      </c>
      <c r="J109" s="25">
        <f t="shared" si="177"/>
        <v>22701423.636886343</v>
      </c>
      <c r="K109" s="25">
        <f t="shared" si="177"/>
        <v>23092827.492694728</v>
      </c>
      <c r="L109" s="25">
        <f t="shared" si="177"/>
        <v>23484231.348503117</v>
      </c>
      <c r="M109" s="25">
        <f t="shared" si="177"/>
        <v>23875635.204311501</v>
      </c>
      <c r="N109" s="25">
        <f t="shared" si="177"/>
        <v>24267039.060119886</v>
      </c>
      <c r="O109" s="25">
        <f t="shared" si="177"/>
        <v>24658442.915928274</v>
      </c>
      <c r="P109" s="25">
        <f t="shared" si="177"/>
        <v>25049846.771736659</v>
      </c>
      <c r="Q109" s="24"/>
    </row>
    <row r="110" spans="1:17" x14ac:dyDescent="0.2">
      <c r="A110" s="24" t="s">
        <v>21</v>
      </c>
      <c r="B110" s="24"/>
      <c r="C110" s="24"/>
      <c r="D110" s="24"/>
      <c r="E110" s="24"/>
      <c r="F110" s="25">
        <f>F89</f>
        <v>117.41999999999999</v>
      </c>
      <c r="G110" s="25">
        <f>G29*($F$110*(1+0.02*(G2-2022)))</f>
        <v>0</v>
      </c>
      <c r="H110" s="25">
        <f t="shared" ref="H110:P110" si="178">H29*($F$110*(1+0.02*(H2-2022)))</f>
        <v>0</v>
      </c>
      <c r="I110" s="25">
        <f t="shared" si="178"/>
        <v>0</v>
      </c>
      <c r="J110" s="25">
        <f t="shared" si="178"/>
        <v>0</v>
      </c>
      <c r="K110" s="25">
        <f t="shared" si="178"/>
        <v>0</v>
      </c>
      <c r="L110" s="25">
        <f t="shared" si="178"/>
        <v>0</v>
      </c>
      <c r="M110" s="25">
        <f t="shared" si="178"/>
        <v>0</v>
      </c>
      <c r="N110" s="25">
        <f t="shared" si="178"/>
        <v>0</v>
      </c>
      <c r="O110" s="25">
        <f t="shared" si="178"/>
        <v>0</v>
      </c>
      <c r="P110" s="25">
        <f t="shared" si="178"/>
        <v>0</v>
      </c>
      <c r="Q110" s="24" t="s">
        <v>37</v>
      </c>
    </row>
    <row r="111" spans="1:17" x14ac:dyDescent="0.2">
      <c r="A111" s="23" t="s">
        <v>22</v>
      </c>
      <c r="B111" s="23"/>
      <c r="C111" s="23"/>
      <c r="D111" s="23"/>
      <c r="E111" s="23"/>
      <c r="F111" s="23"/>
      <c r="G111" s="27">
        <f>SUM(G108:G110)</f>
        <v>48597120.367314696</v>
      </c>
      <c r="H111" s="27">
        <f t="shared" ref="H111:P111" si="179">SUM(H108:H110)</f>
        <v>47749770.903256759</v>
      </c>
      <c r="I111" s="27">
        <f t="shared" si="179"/>
        <v>46929045.07351362</v>
      </c>
      <c r="J111" s="27">
        <f t="shared" si="179"/>
        <v>46107093.383469298</v>
      </c>
      <c r="K111" s="27">
        <f t="shared" si="179"/>
        <v>45285371.626397349</v>
      </c>
      <c r="L111" s="27">
        <f t="shared" si="179"/>
        <v>44465238.36636354</v>
      </c>
      <c r="M111" s="27">
        <f t="shared" si="179"/>
        <v>43647958.757390052</v>
      </c>
      <c r="N111" s="27">
        <f t="shared" si="179"/>
        <v>42834708.336989924</v>
      </c>
      <c r="O111" s="27">
        <f t="shared" si="179"/>
        <v>42026576.781426102</v>
      </c>
      <c r="P111" s="27">
        <f t="shared" si="179"/>
        <v>41224571.611661166</v>
      </c>
      <c r="Q111" s="37" t="s">
        <v>23</v>
      </c>
    </row>
    <row r="112" spans="1:17" x14ac:dyDescent="0.2">
      <c r="A112" s="23" t="s">
        <v>26</v>
      </c>
      <c r="H112" s="24"/>
      <c r="I112" s="24"/>
      <c r="J112" s="24"/>
      <c r="K112" s="24"/>
      <c r="L112" s="24"/>
      <c r="M112" s="24"/>
      <c r="N112" s="24"/>
      <c r="O112" s="24"/>
      <c r="Q112" s="27">
        <f>SUM(G111:P111)</f>
        <v>448867455.20778263</v>
      </c>
    </row>
    <row r="113" spans="1:17" x14ac:dyDescent="0.2">
      <c r="A113" s="24" t="s">
        <v>86</v>
      </c>
      <c r="B113" s="24"/>
      <c r="C113" s="24"/>
      <c r="D113" s="24"/>
      <c r="E113" s="25">
        <f>E41</f>
        <v>220000000</v>
      </c>
      <c r="F113" s="24"/>
      <c r="G113" s="28">
        <f>E113/20</f>
        <v>11000000</v>
      </c>
      <c r="H113" s="28">
        <f>G113</f>
        <v>11000000</v>
      </c>
      <c r="I113" s="28">
        <f t="shared" ref="I113" si="180">H113</f>
        <v>11000000</v>
      </c>
      <c r="J113" s="28">
        <f t="shared" ref="J113" si="181">I113</f>
        <v>11000000</v>
      </c>
      <c r="K113" s="28">
        <f t="shared" ref="K113" si="182">J113</f>
        <v>11000000</v>
      </c>
      <c r="L113" s="28">
        <f t="shared" ref="L113" si="183">K113</f>
        <v>11000000</v>
      </c>
      <c r="M113" s="28">
        <f t="shared" ref="M113" si="184">L113</f>
        <v>11000000</v>
      </c>
      <c r="N113" s="28">
        <f t="shared" ref="N113" si="185">M113</f>
        <v>11000000</v>
      </c>
      <c r="O113" s="28">
        <f t="shared" ref="O113" si="186">N113</f>
        <v>11000000</v>
      </c>
      <c r="P113" s="28">
        <f t="shared" ref="P113" si="187">O113</f>
        <v>11000000</v>
      </c>
      <c r="Q113" s="24"/>
    </row>
    <row r="114" spans="1:17" x14ac:dyDescent="0.2">
      <c r="A114" s="23" t="s">
        <v>25</v>
      </c>
      <c r="B114" s="24"/>
      <c r="C114" s="24"/>
      <c r="D114" s="24"/>
      <c r="E114" s="24"/>
      <c r="F114" s="24"/>
      <c r="G114" s="29">
        <f>SUM(G113+G111)</f>
        <v>59597120.367314696</v>
      </c>
      <c r="H114" s="29">
        <f t="shared" ref="H114:P114" si="188">SUM(H113+H111)</f>
        <v>58749770.903256759</v>
      </c>
      <c r="I114" s="29">
        <f t="shared" si="188"/>
        <v>57929045.07351362</v>
      </c>
      <c r="J114" s="29">
        <f t="shared" si="188"/>
        <v>57107093.383469298</v>
      </c>
      <c r="K114" s="29">
        <f t="shared" si="188"/>
        <v>56285371.626397349</v>
      </c>
      <c r="L114" s="29">
        <f t="shared" si="188"/>
        <v>55465238.36636354</v>
      </c>
      <c r="M114" s="29">
        <f t="shared" si="188"/>
        <v>54647958.757390052</v>
      </c>
      <c r="N114" s="29">
        <f t="shared" si="188"/>
        <v>53834708.336989924</v>
      </c>
      <c r="O114" s="29">
        <f t="shared" si="188"/>
        <v>53026576.781426102</v>
      </c>
      <c r="P114" s="29">
        <f t="shared" si="188"/>
        <v>52224571.611661166</v>
      </c>
    </row>
    <row r="115" spans="1:17" x14ac:dyDescent="0.2">
      <c r="A115" s="16" t="s">
        <v>27</v>
      </c>
      <c r="Q115" s="27">
        <f>SUM(G114:P114)</f>
        <v>558867455.20778263</v>
      </c>
    </row>
    <row r="116" spans="1:17" ht="17" customHeight="1" x14ac:dyDescent="0.2"/>
    <row r="117" spans="1:17" ht="17" customHeight="1" x14ac:dyDescent="0.2">
      <c r="A117" s="34" t="s">
        <v>58</v>
      </c>
    </row>
    <row r="122" spans="1:17" s="45" customFormat="1" x14ac:dyDescent="0.2">
      <c r="A122" s="45" t="s">
        <v>39</v>
      </c>
      <c r="D122" s="45" t="s">
        <v>49</v>
      </c>
      <c r="F122" s="46">
        <v>-0.05</v>
      </c>
      <c r="G122" s="45" t="s">
        <v>139</v>
      </c>
    </row>
    <row r="123" spans="1:17" ht="34" x14ac:dyDescent="0.2">
      <c r="A123" s="16" t="s">
        <v>40</v>
      </c>
      <c r="E123" s="47" t="s">
        <v>138</v>
      </c>
      <c r="F123" s="48" t="s">
        <v>89</v>
      </c>
      <c r="G123" s="16" t="s">
        <v>45</v>
      </c>
      <c r="H123" s="16" t="s">
        <v>46</v>
      </c>
    </row>
    <row r="124" spans="1:17" x14ac:dyDescent="0.2">
      <c r="A124" t="s">
        <v>13</v>
      </c>
      <c r="E124" s="26">
        <f>Q43</f>
        <v>863160356.27667618</v>
      </c>
      <c r="H124" s="13">
        <f>Q10-Q23</f>
        <v>1194977.9818223529</v>
      </c>
      <c r="J124" s="30"/>
    </row>
    <row r="125" spans="1:17" x14ac:dyDescent="0.2">
      <c r="A125" t="s">
        <v>87</v>
      </c>
      <c r="E125" s="26">
        <f>Q63</f>
        <v>751537857.88776684</v>
      </c>
      <c r="G125" s="26">
        <f>E124-E125</f>
        <v>111622498.38890934</v>
      </c>
    </row>
    <row r="126" spans="1:17" x14ac:dyDescent="0.2">
      <c r="A126" t="s">
        <v>88</v>
      </c>
      <c r="E126" s="26">
        <f>Q84</f>
        <v>575574314.46964288</v>
      </c>
      <c r="F126" s="56">
        <v>100000000</v>
      </c>
      <c r="G126" s="26">
        <f>E124-E126-F126</f>
        <v>187586041.8070333</v>
      </c>
    </row>
    <row r="127" spans="1:17" x14ac:dyDescent="0.2">
      <c r="A127" t="s">
        <v>145</v>
      </c>
      <c r="E127" s="26">
        <f>Q105</f>
        <v>772638465.54507053</v>
      </c>
      <c r="F127" s="43">
        <f>F126</f>
        <v>100000000</v>
      </c>
      <c r="G127" s="26">
        <f>E125-E127-F127</f>
        <v>-121100607.65730369</v>
      </c>
    </row>
    <row r="129" spans="1:17" x14ac:dyDescent="0.2">
      <c r="A129" s="16" t="s">
        <v>41</v>
      </c>
      <c r="H129" s="13">
        <f>H124</f>
        <v>1194977.9818223529</v>
      </c>
      <c r="J129" s="30"/>
    </row>
    <row r="130" spans="1:17" x14ac:dyDescent="0.2">
      <c r="A130" t="s">
        <v>13</v>
      </c>
      <c r="E130" s="26">
        <f>Q52</f>
        <v>609895836.03716111</v>
      </c>
    </row>
    <row r="131" spans="1:17" x14ac:dyDescent="0.2">
      <c r="A131" t="s">
        <v>87</v>
      </c>
      <c r="E131" s="26">
        <f>Q73</f>
        <v>480138565.24743396</v>
      </c>
      <c r="G131" s="26">
        <f>E130-E131</f>
        <v>129757270.78972715</v>
      </c>
    </row>
    <row r="132" spans="1:17" ht="17" customHeight="1" x14ac:dyDescent="0.2">
      <c r="A132" t="s">
        <v>88</v>
      </c>
      <c r="E132" s="26">
        <f>Q94</f>
        <v>359176516.2740714</v>
      </c>
      <c r="F132" s="43">
        <f>F126</f>
        <v>100000000</v>
      </c>
      <c r="G132" s="26">
        <f>E130-E132-F132</f>
        <v>150719319.76308972</v>
      </c>
    </row>
    <row r="133" spans="1:17" ht="17" customHeight="1" x14ac:dyDescent="0.2">
      <c r="A133" t="s">
        <v>145</v>
      </c>
      <c r="E133" s="26">
        <f>Q115</f>
        <v>558867455.20778263</v>
      </c>
      <c r="F133" s="43">
        <f>F126</f>
        <v>100000000</v>
      </c>
      <c r="G133" s="26">
        <f>E131-E133-F133</f>
        <v>-178728889.96034867</v>
      </c>
    </row>
    <row r="135" spans="1:17" x14ac:dyDescent="0.2">
      <c r="A135" s="1" t="s">
        <v>42</v>
      </c>
    </row>
    <row r="136" spans="1:17" x14ac:dyDescent="0.2">
      <c r="A136" s="33" t="s">
        <v>153</v>
      </c>
      <c r="B136" s="24"/>
      <c r="C136" s="24"/>
      <c r="D136" s="24"/>
      <c r="E136" s="24"/>
      <c r="F136" s="24"/>
      <c r="G136" s="25"/>
      <c r="H136" s="24"/>
      <c r="I136" s="24"/>
      <c r="J136" s="24"/>
      <c r="K136" s="24"/>
      <c r="L136" s="24"/>
      <c r="M136" s="24"/>
      <c r="N136" s="24"/>
      <c r="O136" s="24"/>
      <c r="P136" s="24"/>
      <c r="Q136" s="24"/>
    </row>
    <row r="137" spans="1:17" x14ac:dyDescent="0.2">
      <c r="A137" t="s">
        <v>57</v>
      </c>
    </row>
    <row r="138" spans="1:17" x14ac:dyDescent="0.2">
      <c r="A138" t="s">
        <v>120</v>
      </c>
    </row>
    <row r="139" spans="1:17" x14ac:dyDescent="0.2">
      <c r="A139" t="s">
        <v>50</v>
      </c>
    </row>
    <row r="140" spans="1:17" x14ac:dyDescent="0.2">
      <c r="A140" t="s">
        <v>134</v>
      </c>
    </row>
    <row r="141" spans="1:17" x14ac:dyDescent="0.2">
      <c r="A141" t="s">
        <v>48</v>
      </c>
    </row>
    <row r="142" spans="1:17" x14ac:dyDescent="0.2">
      <c r="A142" t="s">
        <v>121</v>
      </c>
    </row>
    <row r="143" spans="1:17" x14ac:dyDescent="0.2">
      <c r="A143" t="s">
        <v>43</v>
      </c>
    </row>
    <row r="144" spans="1:17" x14ac:dyDescent="0.2">
      <c r="A144" t="s">
        <v>122</v>
      </c>
    </row>
    <row r="145" spans="1:1" x14ac:dyDescent="0.2">
      <c r="A145" t="s">
        <v>44</v>
      </c>
    </row>
    <row r="146" spans="1:1" x14ac:dyDescent="0.2">
      <c r="A146" t="s">
        <v>47</v>
      </c>
    </row>
    <row r="147" spans="1:1" x14ac:dyDescent="0.2">
      <c r="A147" t="s">
        <v>131</v>
      </c>
    </row>
    <row r="148" spans="1:1" x14ac:dyDescent="0.2">
      <c r="A148" t="s">
        <v>132</v>
      </c>
    </row>
    <row r="149" spans="1:1" x14ac:dyDescent="0.2">
      <c r="A149" t="s">
        <v>135</v>
      </c>
    </row>
    <row r="150" spans="1:1" x14ac:dyDescent="0.2">
      <c r="A150" t="s">
        <v>123</v>
      </c>
    </row>
    <row r="151" spans="1:1" x14ac:dyDescent="0.2">
      <c r="A151" t="s">
        <v>124</v>
      </c>
    </row>
    <row r="152" spans="1:1" x14ac:dyDescent="0.2">
      <c r="A152" t="s">
        <v>125</v>
      </c>
    </row>
    <row r="153" spans="1:1" x14ac:dyDescent="0.2">
      <c r="A153" t="s">
        <v>38</v>
      </c>
    </row>
    <row r="154" spans="1:1" x14ac:dyDescent="0.2">
      <c r="A154" t="s">
        <v>126</v>
      </c>
    </row>
    <row r="156" spans="1:1" x14ac:dyDescent="0.2">
      <c r="A156" s="1" t="s">
        <v>51</v>
      </c>
    </row>
    <row r="157" spans="1:1" x14ac:dyDescent="0.2">
      <c r="A157" t="s">
        <v>127</v>
      </c>
    </row>
    <row r="158" spans="1:1" x14ac:dyDescent="0.2">
      <c r="A158" t="s">
        <v>128</v>
      </c>
    </row>
    <row r="159" spans="1:1" x14ac:dyDescent="0.2">
      <c r="A159" t="s">
        <v>52</v>
      </c>
    </row>
    <row r="160" spans="1:1" x14ac:dyDescent="0.2">
      <c r="A160" s="3" t="s">
        <v>129</v>
      </c>
    </row>
    <row r="161" spans="1:1" x14ac:dyDescent="0.2">
      <c r="A161" s="3" t="s">
        <v>53</v>
      </c>
    </row>
    <row r="162" spans="1:1" x14ac:dyDescent="0.2">
      <c r="A162" t="s">
        <v>54</v>
      </c>
    </row>
    <row r="163" spans="1:1" x14ac:dyDescent="0.2">
      <c r="A163" t="s">
        <v>130</v>
      </c>
    </row>
    <row r="164" spans="1:1" x14ac:dyDescent="0.2">
      <c r="A164" t="s">
        <v>56</v>
      </c>
    </row>
    <row r="165" spans="1:1" x14ac:dyDescent="0.2">
      <c r="A165" t="s">
        <v>148</v>
      </c>
    </row>
    <row r="166" spans="1:1" x14ac:dyDescent="0.2">
      <c r="A166" t="s">
        <v>149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37D26-4D30-7947-8734-C8A6E6029825}">
  <dimension ref="A1:O2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" sqref="O1:O1048576"/>
    </sheetView>
  </sheetViews>
  <sheetFormatPr baseColWidth="10" defaultRowHeight="16" x14ac:dyDescent="0.2"/>
  <cols>
    <col min="1" max="1" width="31.83203125" customWidth="1"/>
    <col min="2" max="2" width="29.6640625" customWidth="1"/>
    <col min="3" max="3" width="18.33203125" bestFit="1" customWidth="1"/>
    <col min="4" max="4" width="18.5" bestFit="1" customWidth="1"/>
    <col min="5" max="6" width="17.1640625" bestFit="1" customWidth="1"/>
    <col min="7" max="8" width="13.5" customWidth="1"/>
    <col min="9" max="9" width="13.1640625" customWidth="1"/>
    <col min="10" max="10" width="12.5" bestFit="1" customWidth="1"/>
    <col min="11" max="11" width="16.6640625" customWidth="1"/>
    <col min="12" max="13" width="13.5" customWidth="1"/>
    <col min="14" max="15" width="16.1640625" bestFit="1" customWidth="1"/>
  </cols>
  <sheetData>
    <row r="1" spans="1:15" x14ac:dyDescent="0.2">
      <c r="A1" s="23" t="s">
        <v>105</v>
      </c>
      <c r="B1" s="23"/>
      <c r="C1" s="23" t="s">
        <v>154</v>
      </c>
      <c r="D1" s="58" t="s">
        <v>140</v>
      </c>
      <c r="E1" s="58"/>
      <c r="F1" s="58"/>
      <c r="G1" s="58"/>
      <c r="H1" s="58"/>
      <c r="I1" s="58"/>
      <c r="J1" s="24"/>
      <c r="K1" s="24"/>
      <c r="L1" s="24"/>
      <c r="M1" s="24"/>
      <c r="N1" s="24"/>
      <c r="O1" s="24"/>
    </row>
    <row r="2" spans="1:15" s="49" customFormat="1" x14ac:dyDescent="0.2">
      <c r="A2" s="67" t="s">
        <v>104</v>
      </c>
      <c r="B2" s="60" t="s">
        <v>93</v>
      </c>
      <c r="C2" s="61">
        <v>0.05</v>
      </c>
      <c r="D2" s="61">
        <v>0.05</v>
      </c>
      <c r="E2" s="61">
        <v>0.05</v>
      </c>
      <c r="F2" s="61">
        <v>0.05</v>
      </c>
      <c r="G2" s="61">
        <v>0.05</v>
      </c>
      <c r="H2" s="61">
        <v>0.05</v>
      </c>
      <c r="I2" s="61">
        <v>0.03</v>
      </c>
      <c r="J2" s="61">
        <v>0.05</v>
      </c>
      <c r="K2" s="61">
        <v>0.03</v>
      </c>
      <c r="L2" s="61">
        <v>0.05</v>
      </c>
      <c r="M2" s="61">
        <v>0.05</v>
      </c>
      <c r="N2" s="61" t="s">
        <v>161</v>
      </c>
      <c r="O2" s="61"/>
    </row>
    <row r="3" spans="1:15" s="49" customFormat="1" x14ac:dyDescent="0.2">
      <c r="A3" s="67"/>
      <c r="B3" s="60" t="s">
        <v>94</v>
      </c>
      <c r="C3" s="62" t="s">
        <v>95</v>
      </c>
      <c r="D3" s="62" t="s">
        <v>95</v>
      </c>
      <c r="E3" s="62" t="s">
        <v>96</v>
      </c>
      <c r="F3" s="62" t="s">
        <v>137</v>
      </c>
      <c r="G3" s="62" t="s">
        <v>95</v>
      </c>
      <c r="H3" s="62" t="s">
        <v>96</v>
      </c>
      <c r="I3" s="62" t="s">
        <v>96</v>
      </c>
      <c r="J3" s="62" t="s">
        <v>95</v>
      </c>
      <c r="K3" s="62" t="s">
        <v>96</v>
      </c>
      <c r="L3" s="62" t="s">
        <v>95</v>
      </c>
      <c r="M3" s="62" t="s">
        <v>95</v>
      </c>
      <c r="N3" s="62" t="s">
        <v>95</v>
      </c>
      <c r="O3" s="62"/>
    </row>
    <row r="4" spans="1:15" s="49" customFormat="1" x14ac:dyDescent="0.2">
      <c r="A4" s="67"/>
      <c r="B4" s="60" t="s">
        <v>97</v>
      </c>
      <c r="C4" s="62" t="s">
        <v>98</v>
      </c>
      <c r="D4" s="62" t="s">
        <v>99</v>
      </c>
      <c r="E4" s="62" t="s">
        <v>155</v>
      </c>
      <c r="F4" s="62" t="s">
        <v>98</v>
      </c>
      <c r="G4" s="62" t="s">
        <v>98</v>
      </c>
      <c r="H4" s="62" t="s">
        <v>106</v>
      </c>
      <c r="I4" s="62" t="s">
        <v>99</v>
      </c>
      <c r="J4" s="62" t="s">
        <v>98</v>
      </c>
      <c r="K4" s="62" t="s">
        <v>106</v>
      </c>
      <c r="L4" s="62" t="s">
        <v>98</v>
      </c>
      <c r="M4" s="62" t="s">
        <v>98</v>
      </c>
      <c r="N4" s="62" t="s">
        <v>98</v>
      </c>
      <c r="O4" s="62"/>
    </row>
    <row r="5" spans="1:15" s="49" customFormat="1" x14ac:dyDescent="0.2">
      <c r="A5" s="59"/>
      <c r="B5" s="60" t="s">
        <v>107</v>
      </c>
      <c r="C5" s="62"/>
      <c r="D5" s="62"/>
      <c r="E5" s="62"/>
      <c r="F5" s="62"/>
      <c r="G5" s="63">
        <v>200</v>
      </c>
      <c r="H5" s="63">
        <v>200</v>
      </c>
      <c r="I5" s="62"/>
      <c r="J5" s="63">
        <v>200</v>
      </c>
      <c r="K5" s="63">
        <v>200</v>
      </c>
      <c r="L5" s="63">
        <v>230</v>
      </c>
      <c r="M5" s="62" t="s">
        <v>156</v>
      </c>
      <c r="N5" s="62" t="s">
        <v>162</v>
      </c>
      <c r="O5" s="62"/>
    </row>
    <row r="6" spans="1:15" s="53" customFormat="1" ht="238" customHeight="1" x14ac:dyDescent="0.2">
      <c r="A6" s="64" t="s">
        <v>108</v>
      </c>
      <c r="B6" s="50"/>
      <c r="C6" s="51"/>
      <c r="D6" s="52" t="s">
        <v>109</v>
      </c>
      <c r="E6" s="52" t="s">
        <v>157</v>
      </c>
      <c r="F6" s="52" t="s">
        <v>136</v>
      </c>
      <c r="G6" s="52" t="s">
        <v>141</v>
      </c>
      <c r="H6" s="52" t="s">
        <v>110</v>
      </c>
      <c r="I6" s="52" t="s">
        <v>111</v>
      </c>
      <c r="J6" s="52" t="s">
        <v>158</v>
      </c>
      <c r="K6" s="52" t="s">
        <v>110</v>
      </c>
      <c r="L6" s="52" t="s">
        <v>142</v>
      </c>
      <c r="M6" s="52" t="s">
        <v>133</v>
      </c>
      <c r="N6" s="51"/>
      <c r="O6" s="51"/>
    </row>
    <row r="7" spans="1:15" s="44" customFormat="1" x14ac:dyDescent="0.2">
      <c r="A7" s="54" t="s">
        <v>100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1:15" x14ac:dyDescent="0.2">
      <c r="A8" s="23" t="s">
        <v>13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x14ac:dyDescent="0.2">
      <c r="A9" s="23" t="s">
        <v>101</v>
      </c>
      <c r="B9" s="24"/>
      <c r="C9" s="25">
        <v>112</v>
      </c>
      <c r="D9" s="25">
        <v>56</v>
      </c>
      <c r="E9" s="25">
        <v>62</v>
      </c>
      <c r="F9" s="25">
        <v>162</v>
      </c>
      <c r="G9" s="25">
        <v>81</v>
      </c>
      <c r="H9" s="25">
        <v>-39</v>
      </c>
      <c r="I9" s="25">
        <v>6</v>
      </c>
      <c r="J9" s="25">
        <v>81</v>
      </c>
      <c r="K9" s="25">
        <v>-40</v>
      </c>
      <c r="L9" s="25">
        <v>-1</v>
      </c>
      <c r="M9" s="25">
        <v>343</v>
      </c>
      <c r="N9" s="25">
        <v>-131</v>
      </c>
      <c r="O9" s="25"/>
    </row>
    <row r="10" spans="1:15" x14ac:dyDescent="0.2">
      <c r="A10" s="23" t="s">
        <v>102</v>
      </c>
      <c r="B10" s="24"/>
      <c r="C10" s="25">
        <v>188</v>
      </c>
      <c r="D10" s="25">
        <v>162</v>
      </c>
      <c r="E10" s="25">
        <v>138</v>
      </c>
      <c r="F10" s="25">
        <v>238</v>
      </c>
      <c r="G10" s="25">
        <v>181</v>
      </c>
      <c r="H10" s="25">
        <v>98</v>
      </c>
      <c r="I10" s="25">
        <v>12</v>
      </c>
      <c r="J10" s="25">
        <v>181</v>
      </c>
      <c r="K10" s="25">
        <v>-12</v>
      </c>
      <c r="L10" s="25">
        <v>158</v>
      </c>
      <c r="M10" s="25">
        <v>419</v>
      </c>
      <c r="N10" s="25">
        <v>78</v>
      </c>
      <c r="O10" s="25"/>
    </row>
    <row r="11" spans="1:15" x14ac:dyDescent="0.2">
      <c r="A11" s="23" t="s">
        <v>159</v>
      </c>
      <c r="B11" s="24"/>
      <c r="C11" s="25">
        <v>-121</v>
      </c>
      <c r="D11" s="25">
        <v>-65</v>
      </c>
      <c r="E11" s="25">
        <v>-71</v>
      </c>
      <c r="F11" s="25">
        <v>-171</v>
      </c>
      <c r="G11" s="25">
        <v>-91</v>
      </c>
      <c r="H11" s="25">
        <v>30</v>
      </c>
      <c r="I11" s="25">
        <v>-79</v>
      </c>
      <c r="J11" s="25">
        <v>-91</v>
      </c>
      <c r="K11" s="25">
        <v>-34</v>
      </c>
      <c r="L11" s="25">
        <v>75</v>
      </c>
      <c r="M11" s="25">
        <v>-353</v>
      </c>
      <c r="N11" s="25">
        <v>143</v>
      </c>
      <c r="O11" s="25"/>
    </row>
    <row r="12" spans="1:15" s="44" customFormat="1" x14ac:dyDescent="0.2">
      <c r="A12" s="23"/>
      <c r="B12" s="24"/>
      <c r="C12" s="24"/>
      <c r="D12" s="25"/>
      <c r="E12" s="25"/>
      <c r="F12" s="25"/>
      <c r="G12" s="25"/>
      <c r="H12" s="25"/>
      <c r="I12" s="25"/>
      <c r="J12" s="25"/>
      <c r="K12" s="25"/>
      <c r="L12" s="24"/>
      <c r="M12" s="24"/>
      <c r="N12" s="25"/>
      <c r="O12" s="25"/>
    </row>
    <row r="13" spans="1:15" x14ac:dyDescent="0.2">
      <c r="A13" s="54" t="s">
        <v>103</v>
      </c>
      <c r="B13" s="65"/>
      <c r="C13" s="65"/>
      <c r="D13" s="66"/>
      <c r="E13" s="66"/>
      <c r="F13" s="66"/>
      <c r="G13" s="66"/>
      <c r="H13" s="66"/>
      <c r="I13" s="66"/>
      <c r="J13" s="66"/>
      <c r="K13" s="66"/>
      <c r="L13" s="65"/>
      <c r="M13" s="65"/>
      <c r="N13" s="65"/>
      <c r="O13" s="65"/>
    </row>
    <row r="14" spans="1:15" x14ac:dyDescent="0.2">
      <c r="A14" s="23" t="s">
        <v>13</v>
      </c>
      <c r="B14" s="24"/>
      <c r="C14" s="24"/>
      <c r="D14" s="25"/>
      <c r="E14" s="25"/>
      <c r="F14" s="25"/>
      <c r="G14" s="25"/>
      <c r="H14" s="25"/>
      <c r="I14" s="25"/>
      <c r="J14" s="25"/>
      <c r="K14" s="25"/>
      <c r="L14" s="24"/>
      <c r="M14" s="24"/>
      <c r="N14" s="24"/>
      <c r="O14" s="24"/>
    </row>
    <row r="15" spans="1:15" x14ac:dyDescent="0.2">
      <c r="A15" s="23" t="s">
        <v>101</v>
      </c>
      <c r="B15" s="24"/>
      <c r="C15" s="25">
        <v>130</v>
      </c>
      <c r="D15" s="25">
        <v>87</v>
      </c>
      <c r="E15" s="25">
        <v>80</v>
      </c>
      <c r="F15" s="25">
        <v>180</v>
      </c>
      <c r="G15" s="25">
        <v>130</v>
      </c>
      <c r="H15" s="25">
        <v>37</v>
      </c>
      <c r="I15" s="25">
        <v>37</v>
      </c>
      <c r="J15" s="25">
        <v>130</v>
      </c>
      <c r="K15" s="25"/>
      <c r="L15" s="25"/>
      <c r="M15" s="24"/>
      <c r="N15" s="25">
        <v>-59</v>
      </c>
      <c r="O15" s="25"/>
    </row>
    <row r="16" spans="1:15" x14ac:dyDescent="0.2">
      <c r="A16" s="23" t="s">
        <v>102</v>
      </c>
      <c r="B16" s="24"/>
      <c r="C16" s="25">
        <v>151</v>
      </c>
      <c r="D16" s="25">
        <v>131</v>
      </c>
      <c r="E16" s="25">
        <v>101</v>
      </c>
      <c r="F16" s="25">
        <v>201</v>
      </c>
      <c r="G16" s="25">
        <v>151</v>
      </c>
      <c r="H16" s="25">
        <v>81</v>
      </c>
      <c r="I16" s="25">
        <v>14</v>
      </c>
      <c r="J16" s="25">
        <v>151</v>
      </c>
      <c r="K16" s="25"/>
      <c r="L16" s="24"/>
      <c r="M16" s="24"/>
      <c r="N16" s="25">
        <v>59</v>
      </c>
      <c r="O16" s="25"/>
    </row>
    <row r="17" spans="1:15" x14ac:dyDescent="0.2">
      <c r="A17" s="23" t="s">
        <v>159</v>
      </c>
      <c r="B17" s="24"/>
      <c r="C17" s="25">
        <v>-179</v>
      </c>
      <c r="D17" s="25">
        <v>-136</v>
      </c>
      <c r="E17" s="25">
        <v>-129</v>
      </c>
      <c r="F17" s="25">
        <v>-229</v>
      </c>
      <c r="G17" s="25">
        <v>-179</v>
      </c>
      <c r="H17" s="25">
        <v>-86</v>
      </c>
      <c r="I17" s="25">
        <v>-125</v>
      </c>
      <c r="J17" s="25">
        <v>-179</v>
      </c>
      <c r="K17" s="25"/>
      <c r="L17" s="24"/>
      <c r="M17" s="24"/>
      <c r="N17" s="24">
        <v>19</v>
      </c>
      <c r="O17" s="24"/>
    </row>
    <row r="18" spans="1:15" x14ac:dyDescent="0.2">
      <c r="A18" s="24"/>
      <c r="B18" s="24"/>
      <c r="C18" s="24"/>
      <c r="D18" s="25"/>
      <c r="E18" s="25"/>
      <c r="F18" s="25"/>
      <c r="G18" s="25"/>
      <c r="H18" s="25"/>
      <c r="I18" s="25"/>
      <c r="J18" s="25"/>
      <c r="K18" s="25"/>
      <c r="L18" s="24"/>
      <c r="M18" s="24"/>
    </row>
    <row r="19" spans="1:15" x14ac:dyDescent="0.2">
      <c r="A19" s="23" t="s">
        <v>112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x14ac:dyDescent="0.2">
      <c r="A20" s="24" t="s">
        <v>113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5" x14ac:dyDescent="0.2">
      <c r="A21" s="24" t="s">
        <v>114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2">
      <c r="A22" s="24" t="s">
        <v>115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x14ac:dyDescent="0.2">
      <c r="A23" s="24" t="s">
        <v>116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x14ac:dyDescent="0.2">
      <c r="A24" s="24" t="s">
        <v>160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</sheetData>
  <mergeCells count="1">
    <mergeCell ref="A2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041DD-13F8-E449-9390-EE59264FFCE9}">
  <dimension ref="A1:X2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V3" sqref="V3:V4"/>
    </sheetView>
  </sheetViews>
  <sheetFormatPr baseColWidth="10" defaultRowHeight="16" x14ac:dyDescent="0.2"/>
  <cols>
    <col min="5" max="5" width="25.5" customWidth="1"/>
    <col min="7" max="7" width="15" bestFit="1" customWidth="1"/>
    <col min="8" max="10" width="15" customWidth="1"/>
    <col min="13" max="13" width="38.1640625" customWidth="1"/>
    <col min="14" max="14" width="36.1640625" customWidth="1"/>
    <col min="15" max="15" width="11.83203125" customWidth="1"/>
    <col min="22" max="22" width="15" bestFit="1" customWidth="1"/>
  </cols>
  <sheetData>
    <row r="1" spans="1:24" x14ac:dyDescent="0.2">
      <c r="A1" s="23" t="s">
        <v>59</v>
      </c>
      <c r="B1" s="23"/>
      <c r="C1" s="23"/>
      <c r="D1" s="24"/>
      <c r="E1" s="24"/>
      <c r="F1" s="24" t="s">
        <v>19</v>
      </c>
      <c r="G1" t="s">
        <v>78</v>
      </c>
      <c r="H1" t="s">
        <v>81</v>
      </c>
      <c r="I1" t="s">
        <v>82</v>
      </c>
      <c r="J1" t="s">
        <v>80</v>
      </c>
      <c r="K1" t="s">
        <v>83</v>
      </c>
      <c r="L1" t="s">
        <v>64</v>
      </c>
      <c r="M1" t="s">
        <v>60</v>
      </c>
      <c r="N1" t="s">
        <v>42</v>
      </c>
      <c r="O1" t="s">
        <v>61</v>
      </c>
      <c r="V1" t="s">
        <v>151</v>
      </c>
      <c r="W1" t="s">
        <v>152</v>
      </c>
    </row>
    <row r="2" spans="1:24" x14ac:dyDescent="0.2">
      <c r="A2" s="24" t="s">
        <v>20</v>
      </c>
      <c r="B2" s="24"/>
      <c r="C2" s="24"/>
      <c r="D2" s="24"/>
      <c r="E2" s="24"/>
      <c r="F2" s="32">
        <v>64</v>
      </c>
      <c r="O2" t="s">
        <v>77</v>
      </c>
      <c r="U2" t="s">
        <v>150</v>
      </c>
      <c r="V2" s="30">
        <v>32801889</v>
      </c>
      <c r="W2">
        <v>509495</v>
      </c>
      <c r="X2" s="57">
        <f>V2/W2</f>
        <v>64.381179403134482</v>
      </c>
    </row>
    <row r="3" spans="1:24" ht="136" x14ac:dyDescent="0.2">
      <c r="A3" s="24" t="s">
        <v>90</v>
      </c>
      <c r="B3" s="24"/>
      <c r="C3" s="24"/>
      <c r="D3" s="24"/>
      <c r="E3" s="24"/>
      <c r="F3" s="32">
        <f>L3</f>
        <v>107.23583695223056</v>
      </c>
      <c r="G3" s="30">
        <v>33616947</v>
      </c>
      <c r="H3" s="30">
        <f>3649146+2000000 +1600000</f>
        <v>7249146</v>
      </c>
      <c r="I3" s="30">
        <v>291477</v>
      </c>
      <c r="J3" s="26">
        <f>G3-H3-I3</f>
        <v>26076324</v>
      </c>
      <c r="K3" s="4">
        <v>243168</v>
      </c>
      <c r="L3">
        <f>J3/K3</f>
        <v>107.23583695223056</v>
      </c>
      <c r="M3" s="39" t="s">
        <v>84</v>
      </c>
      <c r="N3" s="39"/>
      <c r="O3" t="s">
        <v>70</v>
      </c>
      <c r="V3" s="30">
        <v>24079057</v>
      </c>
      <c r="W3">
        <v>243169</v>
      </c>
      <c r="X3" s="57">
        <f t="shared" ref="X3:X4" si="0">V3/W3</f>
        <v>99.021902462896179</v>
      </c>
    </row>
    <row r="4" spans="1:24" x14ac:dyDescent="0.2">
      <c r="A4" s="24" t="s">
        <v>21</v>
      </c>
      <c r="B4" s="24"/>
      <c r="C4" s="24"/>
      <c r="D4" s="24"/>
      <c r="E4" s="24"/>
      <c r="F4" s="32">
        <v>171</v>
      </c>
      <c r="O4" t="s">
        <v>77</v>
      </c>
      <c r="V4" s="30">
        <v>25964738</v>
      </c>
      <c r="W4">
        <v>151539</v>
      </c>
      <c r="X4" s="57">
        <f t="shared" si="0"/>
        <v>171.34030183649094</v>
      </c>
    </row>
    <row r="5" spans="1:24" x14ac:dyDescent="0.2">
      <c r="A5" s="23" t="s">
        <v>22</v>
      </c>
      <c r="B5" s="23"/>
      <c r="C5" s="23"/>
      <c r="D5" s="23"/>
      <c r="E5" s="23"/>
      <c r="F5" s="23"/>
    </row>
    <row r="6" spans="1:24" x14ac:dyDescent="0.2">
      <c r="A6" s="23" t="s">
        <v>26</v>
      </c>
    </row>
    <row r="7" spans="1:24" x14ac:dyDescent="0.2">
      <c r="A7" s="24" t="s">
        <v>24</v>
      </c>
      <c r="B7" s="24"/>
      <c r="C7" s="24"/>
      <c r="D7" s="24"/>
      <c r="E7" s="28">
        <v>220000000</v>
      </c>
      <c r="F7" s="24"/>
    </row>
    <row r="8" spans="1:24" x14ac:dyDescent="0.2">
      <c r="A8" s="23" t="s">
        <v>25</v>
      </c>
      <c r="B8" s="24"/>
      <c r="C8" s="24"/>
      <c r="D8" s="24"/>
      <c r="E8" s="24"/>
      <c r="F8" s="24"/>
    </row>
    <row r="9" spans="1:24" x14ac:dyDescent="0.2">
      <c r="A9" s="16" t="s">
        <v>27</v>
      </c>
    </row>
    <row r="11" spans="1:24" x14ac:dyDescent="0.2">
      <c r="A11" s="23" t="s">
        <v>68</v>
      </c>
      <c r="B11" s="23"/>
      <c r="C11" s="23"/>
      <c r="D11" s="24"/>
      <c r="E11" s="24"/>
      <c r="F11" s="24" t="s">
        <v>29</v>
      </c>
      <c r="G11" t="s">
        <v>62</v>
      </c>
      <c r="H11" t="s">
        <v>72</v>
      </c>
      <c r="I11" t="s">
        <v>73</v>
      </c>
      <c r="J11" t="s">
        <v>74</v>
      </c>
      <c r="K11" t="s">
        <v>63</v>
      </c>
      <c r="L11" t="s">
        <v>64</v>
      </c>
    </row>
    <row r="12" spans="1:24" ht="50" customHeight="1" x14ac:dyDescent="0.2">
      <c r="A12" s="24" t="s">
        <v>20</v>
      </c>
      <c r="B12" s="24"/>
      <c r="C12" s="24"/>
      <c r="D12" s="24"/>
      <c r="E12" s="24"/>
      <c r="F12" s="25">
        <f>L12</f>
        <v>37.686075870602117</v>
      </c>
      <c r="G12" s="30">
        <f>31493726</f>
        <v>31493726</v>
      </c>
      <c r="H12" s="30"/>
      <c r="I12" s="30"/>
      <c r="J12" s="30"/>
      <c r="K12" s="41">
        <f>691083+144603</f>
        <v>835686</v>
      </c>
      <c r="L12" s="40">
        <f>G12/K12</f>
        <v>37.686075870602117</v>
      </c>
      <c r="M12" s="39" t="s">
        <v>66</v>
      </c>
      <c r="N12" s="39" t="s">
        <v>67</v>
      </c>
      <c r="O12" t="s">
        <v>65</v>
      </c>
    </row>
    <row r="13" spans="1:24" ht="51" x14ac:dyDescent="0.2">
      <c r="A13" s="24" t="s">
        <v>91</v>
      </c>
      <c r="B13" s="24"/>
      <c r="C13" s="24"/>
      <c r="D13" s="24"/>
      <c r="E13" s="24"/>
      <c r="F13" s="25">
        <f>L13</f>
        <v>78.280771161677052</v>
      </c>
      <c r="G13" s="42">
        <f>24308868</f>
        <v>24308868</v>
      </c>
      <c r="H13" s="42">
        <v>5705028</v>
      </c>
      <c r="I13" s="42">
        <v>360428</v>
      </c>
      <c r="J13" s="42">
        <f>G13-H13-I13</f>
        <v>18243412</v>
      </c>
      <c r="K13" s="4">
        <v>233051</v>
      </c>
      <c r="L13" s="40">
        <f>J13/K13</f>
        <v>78.280771161677052</v>
      </c>
      <c r="M13" s="39" t="s">
        <v>71</v>
      </c>
      <c r="N13" s="39" t="s">
        <v>69</v>
      </c>
      <c r="O13" t="s">
        <v>70</v>
      </c>
    </row>
    <row r="14" spans="1:24" ht="34" x14ac:dyDescent="0.2">
      <c r="A14" s="24" t="s">
        <v>21</v>
      </c>
      <c r="F14" s="26">
        <f>L14</f>
        <v>117.41999999999999</v>
      </c>
      <c r="L14" s="25">
        <f>103*(1.14)</f>
        <v>117.41999999999999</v>
      </c>
      <c r="M14" s="39" t="s">
        <v>75</v>
      </c>
      <c r="N14" t="s">
        <v>76</v>
      </c>
    </row>
    <row r="21" spans="2:2" x14ac:dyDescent="0.2">
      <c r="B21" t="s">
        <v>92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Scenarios</vt:lpstr>
      <vt:lpstr>Sensitivity</vt:lpstr>
      <vt:lpstr>Disposal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Maxwell</dc:creator>
  <cp:lastModifiedBy>Sue Maxwell</cp:lastModifiedBy>
  <dcterms:created xsi:type="dcterms:W3CDTF">2025-09-26T20:24:36Z</dcterms:created>
  <dcterms:modified xsi:type="dcterms:W3CDTF">2025-10-07T21:26:40Z</dcterms:modified>
</cp:coreProperties>
</file>