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suemaxwell/Desktop/cement&amp; incin -MV/"/>
    </mc:Choice>
  </mc:AlternateContent>
  <xr:revisionPtr revIDLastSave="0" documentId="13_ncr:1_{2B1D1F89-4717-B840-9399-0F4546CE3200}" xr6:coauthVersionLast="47" xr6:coauthVersionMax="47" xr10:uidLastSave="{00000000-0000-0000-0000-000000000000}"/>
  <bookViews>
    <workbookView xWindow="0" yWindow="-17080" windowWidth="27500" windowHeight="17080" activeTab="7" xr2:uid="{6DC699FB-020E-B34C-AAE1-AF135970E731}"/>
  </bookViews>
  <sheets>
    <sheet name="Waste stats" sheetId="1" r:id="rId1"/>
    <sheet name="GHG comparisons" sheetId="12" r:id="rId2"/>
    <sheet name="Biogenic LF emissions" sheetId="13" r:id="rId3"/>
    <sheet name="waste charts" sheetId="11" r:id="rId4"/>
    <sheet name="Costs-capital" sheetId="4" r:id="rId5"/>
    <sheet name="Costs -operating" sheetId="6" r:id="rId6"/>
    <sheet name="Homes" sheetId="10" r:id="rId7"/>
    <sheet name="Energy in waste" sheetId="7" r:id="rId8"/>
    <sheet name="For info only" sheetId="14" r:id="rId9"/>
    <sheet name="Costs -operating WTE only" sheetId="5" r:id="rId10"/>
    <sheet name="Energy by materials" sheetId="8" r:id="rId11"/>
    <sheet name="Waste split -source" sheetId="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90" i="4" l="1"/>
  <c r="C78" i="4"/>
  <c r="C54" i="4"/>
  <c r="C55" i="4" s="1"/>
  <c r="G18" i="4"/>
  <c r="C6" i="4"/>
  <c r="E55" i="4" l="1"/>
  <c r="E56" i="4" s="1"/>
  <c r="C56" i="4"/>
  <c r="E54" i="4"/>
  <c r="T9" i="1" l="1"/>
  <c r="T8" i="1"/>
  <c r="T5" i="1"/>
  <c r="R8" i="1"/>
  <c r="P58" i="1"/>
  <c r="M58" i="1"/>
  <c r="L58" i="1"/>
  <c r="K58" i="1"/>
  <c r="J58" i="1"/>
  <c r="I58" i="1"/>
  <c r="H58" i="1"/>
  <c r="G58" i="1"/>
  <c r="F58" i="1"/>
  <c r="E58" i="1"/>
  <c r="D58" i="1"/>
  <c r="C58" i="1"/>
  <c r="P54" i="1"/>
  <c r="N17" i="5" l="1"/>
  <c r="M17" i="5"/>
  <c r="D3" i="13"/>
  <c r="M63" i="1" l="1"/>
  <c r="C18" i="13"/>
  <c r="C20" i="13" s="1"/>
  <c r="C14" i="13"/>
  <c r="B14" i="13"/>
  <c r="C10" i="13"/>
  <c r="C11" i="13" s="1"/>
  <c r="B10" i="13"/>
  <c r="B11" i="13" s="1"/>
  <c r="C8" i="13"/>
  <c r="C23" i="13" s="1"/>
  <c r="C24" i="13" s="1"/>
  <c r="B8" i="13"/>
  <c r="B18" i="13" s="1"/>
  <c r="D6" i="13"/>
  <c r="C6" i="12"/>
  <c r="C5" i="12"/>
  <c r="C7" i="12"/>
  <c r="C43" i="11"/>
  <c r="D43" i="11"/>
  <c r="M69" i="1"/>
  <c r="L69" i="1"/>
  <c r="K69" i="1"/>
  <c r="J69" i="1"/>
  <c r="I69" i="1"/>
  <c r="H69" i="1"/>
  <c r="G69" i="1"/>
  <c r="F69" i="1"/>
  <c r="E69" i="1"/>
  <c r="X26" i="6"/>
  <c r="X21" i="6"/>
  <c r="X20" i="6"/>
  <c r="X19" i="6"/>
  <c r="X18" i="6"/>
  <c r="X17" i="6"/>
  <c r="X16" i="6"/>
  <c r="X15" i="6"/>
  <c r="X11" i="6"/>
  <c r="X8" i="6"/>
  <c r="X5" i="6"/>
  <c r="X4" i="6"/>
  <c r="K95" i="1"/>
  <c r="J95" i="1"/>
  <c r="I95" i="1"/>
  <c r="H19" i="11" s="1"/>
  <c r="H95" i="1"/>
  <c r="G19" i="11" s="1"/>
  <c r="G95" i="1"/>
  <c r="F19" i="11" s="1"/>
  <c r="F95" i="1"/>
  <c r="E19" i="11" s="1"/>
  <c r="E95" i="1"/>
  <c r="D19" i="11" s="1"/>
  <c r="L95" i="1"/>
  <c r="M95" i="1"/>
  <c r="L19" i="11" s="1"/>
  <c r="B37" i="6"/>
  <c r="S37" i="6"/>
  <c r="R37" i="6"/>
  <c r="Q37" i="6"/>
  <c r="P37" i="6"/>
  <c r="O37" i="6"/>
  <c r="N37" i="6"/>
  <c r="M37" i="6"/>
  <c r="L37" i="6"/>
  <c r="K37" i="6"/>
  <c r="J37" i="6"/>
  <c r="I37" i="6"/>
  <c r="H37" i="6"/>
  <c r="G37" i="6"/>
  <c r="F37" i="6"/>
  <c r="E37" i="6"/>
  <c r="D37" i="6"/>
  <c r="C37" i="6"/>
  <c r="C19" i="11"/>
  <c r="B19" i="11"/>
  <c r="A4" i="11"/>
  <c r="L2" i="11"/>
  <c r="K2" i="11"/>
  <c r="J2" i="11"/>
  <c r="I2" i="11"/>
  <c r="H2" i="11"/>
  <c r="G2" i="11"/>
  <c r="F2" i="11"/>
  <c r="E2" i="11"/>
  <c r="D2" i="11"/>
  <c r="C2" i="11"/>
  <c r="B2" i="11"/>
  <c r="A2" i="11"/>
  <c r="M105" i="1"/>
  <c r="L105" i="1"/>
  <c r="M102" i="1"/>
  <c r="M106" i="1" s="1"/>
  <c r="L102" i="1"/>
  <c r="L106" i="1" s="1"/>
  <c r="K102" i="1"/>
  <c r="K106" i="1" s="1"/>
  <c r="J102" i="1"/>
  <c r="J103" i="1" s="1"/>
  <c r="I102" i="1"/>
  <c r="I103" i="1" s="1"/>
  <c r="H102" i="1"/>
  <c r="H103" i="1" s="1"/>
  <c r="G102" i="1"/>
  <c r="G103" i="1" s="1"/>
  <c r="F102" i="1"/>
  <c r="F103" i="1" s="1"/>
  <c r="E102" i="1"/>
  <c r="E103" i="1" s="1"/>
  <c r="D102" i="1"/>
  <c r="D103" i="1" s="1"/>
  <c r="C102" i="1"/>
  <c r="C106" i="1" s="1"/>
  <c r="M101" i="1"/>
  <c r="L101" i="1"/>
  <c r="K101" i="1"/>
  <c r="J101" i="1"/>
  <c r="I101" i="1"/>
  <c r="H101" i="1"/>
  <c r="G101" i="1"/>
  <c r="F101" i="1"/>
  <c r="E101" i="1"/>
  <c r="D101" i="1"/>
  <c r="C101" i="1"/>
  <c r="C122" i="1"/>
  <c r="C121" i="1"/>
  <c r="I106" i="1"/>
  <c r="K105" i="1"/>
  <c r="J105" i="1"/>
  <c r="I105" i="1"/>
  <c r="H105" i="1"/>
  <c r="G105" i="1"/>
  <c r="F105" i="1"/>
  <c r="E105" i="1"/>
  <c r="D105" i="1"/>
  <c r="C118" i="1" s="1"/>
  <c r="C105" i="1"/>
  <c r="E106" i="1" l="1"/>
  <c r="B20" i="13"/>
  <c r="D20" i="13" s="1"/>
  <c r="D18" i="13"/>
  <c r="C27" i="13"/>
  <c r="C28" i="13" s="1"/>
  <c r="C29" i="13" s="1"/>
  <c r="B23" i="13"/>
  <c r="D14" i="13"/>
  <c r="D8" i="13"/>
  <c r="E125" i="1"/>
  <c r="M108" i="1"/>
  <c r="E108" i="1"/>
  <c r="L108" i="1"/>
  <c r="G107" i="1"/>
  <c r="G109" i="1" s="1"/>
  <c r="G110" i="1" s="1"/>
  <c r="M103" i="1"/>
  <c r="M107" i="1" s="1"/>
  <c r="M109" i="1" s="1"/>
  <c r="M110" i="1" s="1"/>
  <c r="I107" i="1"/>
  <c r="I109" i="1" s="1"/>
  <c r="I110" i="1" s="1"/>
  <c r="F106" i="1"/>
  <c r="F108" i="1" s="1"/>
  <c r="K103" i="1"/>
  <c r="K107" i="1" s="1"/>
  <c r="K109" i="1" s="1"/>
  <c r="K110" i="1" s="1"/>
  <c r="I108" i="1"/>
  <c r="D107" i="1"/>
  <c r="D109" i="1" s="1"/>
  <c r="D110" i="1" s="1"/>
  <c r="H107" i="1"/>
  <c r="H109" i="1" s="1"/>
  <c r="H110" i="1" s="1"/>
  <c r="C103" i="1"/>
  <c r="C107" i="1" s="1"/>
  <c r="C109" i="1" s="1"/>
  <c r="C110" i="1" s="1"/>
  <c r="J106" i="1"/>
  <c r="J108" i="1" s="1"/>
  <c r="E107" i="1"/>
  <c r="E109" i="1" s="1"/>
  <c r="E110" i="1" s="1"/>
  <c r="G106" i="1"/>
  <c r="G108" i="1" s="1"/>
  <c r="D106" i="1"/>
  <c r="D108" i="1" s="1"/>
  <c r="H106" i="1"/>
  <c r="H108" i="1" s="1"/>
  <c r="F107" i="1"/>
  <c r="F109" i="1" s="1"/>
  <c r="F110" i="1" s="1"/>
  <c r="J107" i="1"/>
  <c r="J109" i="1" s="1"/>
  <c r="J110" i="1" s="1"/>
  <c r="L103" i="1"/>
  <c r="L107" i="1" s="1"/>
  <c r="L109" i="1" s="1"/>
  <c r="L110" i="1" s="1"/>
  <c r="K108" i="1"/>
  <c r="C108" i="1"/>
  <c r="D117" i="1"/>
  <c r="C4" i="12" l="1"/>
  <c r="B4" i="12"/>
  <c r="D23" i="13"/>
  <c r="B24" i="13"/>
  <c r="B7" i="10"/>
  <c r="B5" i="10"/>
  <c r="A5" i="10"/>
  <c r="B4" i="10"/>
  <c r="B8" i="10" s="1"/>
  <c r="A4" i="10"/>
  <c r="B6" i="10"/>
  <c r="D24" i="13" l="1"/>
  <c r="B27" i="13"/>
  <c r="B9" i="10"/>
  <c r="B10" i="10" s="1"/>
  <c r="J68" i="1"/>
  <c r="J70" i="1" s="1"/>
  <c r="B28" i="13" l="1"/>
  <c r="D27" i="13"/>
  <c r="K60" i="1"/>
  <c r="J60" i="1"/>
  <c r="I60" i="1"/>
  <c r="H60" i="1"/>
  <c r="G60" i="1"/>
  <c r="F60" i="1"/>
  <c r="E60" i="1"/>
  <c r="L65" i="1"/>
  <c r="L66" i="1" s="1"/>
  <c r="K65" i="1"/>
  <c r="K66" i="1" s="1"/>
  <c r="J65" i="1"/>
  <c r="J66" i="1" s="1"/>
  <c r="I65" i="1"/>
  <c r="I66" i="1" s="1"/>
  <c r="H65" i="1"/>
  <c r="H66" i="1" s="1"/>
  <c r="G65" i="1"/>
  <c r="G66" i="1" s="1"/>
  <c r="F65" i="1"/>
  <c r="F66" i="1" s="1"/>
  <c r="E65" i="1"/>
  <c r="E66" i="1" s="1"/>
  <c r="B29" i="13" l="1"/>
  <c r="D28" i="13"/>
  <c r="D29" i="13" s="1"/>
  <c r="M73" i="1" s="1"/>
  <c r="L60" i="1"/>
  <c r="M65" i="1" l="1"/>
  <c r="M66" i="1" s="1"/>
  <c r="M60" i="1"/>
  <c r="T64" i="1" s="1"/>
  <c r="B43" i="11" l="1"/>
  <c r="AD8" i="6"/>
  <c r="M13" i="1"/>
  <c r="L3" i="11" s="1"/>
  <c r="L13" i="1"/>
  <c r="K3" i="11" s="1"/>
  <c r="K13" i="1"/>
  <c r="J3" i="11" s="1"/>
  <c r="J13" i="1"/>
  <c r="I3" i="11" s="1"/>
  <c r="I13" i="1"/>
  <c r="H3" i="11" s="1"/>
  <c r="H13" i="1"/>
  <c r="G3" i="11" s="1"/>
  <c r="G13" i="1"/>
  <c r="F3" i="11" s="1"/>
  <c r="F13" i="1"/>
  <c r="E3" i="11" s="1"/>
  <c r="E13" i="1"/>
  <c r="D3" i="11" s="1"/>
  <c r="D13" i="1"/>
  <c r="C3" i="11" s="1"/>
  <c r="C13" i="1"/>
  <c r="B3" i="11" s="1"/>
  <c r="T24" i="6"/>
  <c r="T23" i="6"/>
  <c r="T22" i="6"/>
  <c r="T21" i="6"/>
  <c r="T20" i="6"/>
  <c r="T18" i="6"/>
  <c r="T16" i="6"/>
  <c r="T15" i="6"/>
  <c r="T12" i="6"/>
  <c r="T11" i="6"/>
  <c r="T10" i="6"/>
  <c r="T9" i="6"/>
  <c r="T8" i="6"/>
  <c r="T7" i="6"/>
  <c r="T6" i="6"/>
  <c r="T5" i="6"/>
  <c r="T4" i="6"/>
  <c r="K17" i="7"/>
  <c r="K10" i="7"/>
  <c r="K9" i="7"/>
  <c r="K8" i="7"/>
  <c r="K7" i="7"/>
  <c r="K6" i="7"/>
  <c r="K5" i="7"/>
  <c r="I10" i="7"/>
  <c r="I9" i="7"/>
  <c r="I8" i="7"/>
  <c r="I7" i="7"/>
  <c r="I6" i="7"/>
  <c r="I5" i="7"/>
  <c r="I4" i="7"/>
  <c r="M96" i="1"/>
  <c r="L20" i="11" s="1"/>
  <c r="L96" i="1"/>
  <c r="K20" i="11" s="1"/>
  <c r="K96" i="1"/>
  <c r="J20" i="11" s="1"/>
  <c r="J96" i="1"/>
  <c r="I20" i="11" s="1"/>
  <c r="I96" i="1"/>
  <c r="H20" i="11" s="1"/>
  <c r="H96" i="1"/>
  <c r="G20" i="11" s="1"/>
  <c r="G96" i="1"/>
  <c r="F20" i="11" s="1"/>
  <c r="F96" i="1"/>
  <c r="E20" i="11" s="1"/>
  <c r="E96" i="1"/>
  <c r="D20" i="11" s="1"/>
  <c r="D96" i="1"/>
  <c r="C20" i="11" s="1"/>
  <c r="M93" i="1"/>
  <c r="L18" i="11" s="1"/>
  <c r="L93" i="1"/>
  <c r="K18" i="11" s="1"/>
  <c r="K93" i="1"/>
  <c r="J18" i="11" s="1"/>
  <c r="J93" i="1"/>
  <c r="I18" i="11" s="1"/>
  <c r="I93" i="1"/>
  <c r="H18" i="11" s="1"/>
  <c r="H93" i="1"/>
  <c r="G18" i="11" s="1"/>
  <c r="G93" i="1"/>
  <c r="F18" i="11" s="1"/>
  <c r="F93" i="1"/>
  <c r="E18" i="11" s="1"/>
  <c r="E93" i="1"/>
  <c r="D18" i="11" s="1"/>
  <c r="D93" i="1"/>
  <c r="C18" i="11" s="1"/>
  <c r="M86" i="1"/>
  <c r="L86" i="1"/>
  <c r="K86" i="1"/>
  <c r="J86" i="1"/>
  <c r="I86" i="1"/>
  <c r="H86" i="1"/>
  <c r="G86" i="1"/>
  <c r="F86" i="1"/>
  <c r="E86" i="1"/>
  <c r="D86" i="1"/>
  <c r="C86" i="1"/>
  <c r="M75" i="1"/>
  <c r="L75" i="1"/>
  <c r="K75" i="1"/>
  <c r="J75" i="1"/>
  <c r="M72" i="1"/>
  <c r="M74" i="1" s="1"/>
  <c r="L72" i="1"/>
  <c r="L74" i="1" s="1"/>
  <c r="K72" i="1"/>
  <c r="K74" i="1" s="1"/>
  <c r="J72" i="1"/>
  <c r="J74" i="1" s="1"/>
  <c r="I72" i="1"/>
  <c r="I74" i="1" s="1"/>
  <c r="H72" i="1"/>
  <c r="H74" i="1" s="1"/>
  <c r="G72" i="1"/>
  <c r="G74" i="1" s="1"/>
  <c r="F72" i="1"/>
  <c r="F74" i="1" s="1"/>
  <c r="E72" i="1"/>
  <c r="E74" i="1" s="1"/>
  <c r="D72" i="1"/>
  <c r="D74" i="1" s="1"/>
  <c r="C72" i="1"/>
  <c r="C74" i="1" s="1"/>
  <c r="I71" i="1"/>
  <c r="H71" i="1"/>
  <c r="G71" i="1"/>
  <c r="F71" i="1"/>
  <c r="E71" i="1"/>
  <c r="D71" i="1"/>
  <c r="C71" i="1"/>
  <c r="M68" i="1"/>
  <c r="M70" i="1" s="1"/>
  <c r="R64" i="1" s="1"/>
  <c r="L68" i="1"/>
  <c r="L70" i="1" s="1"/>
  <c r="K68" i="1"/>
  <c r="K70" i="1" s="1"/>
  <c r="I68" i="1"/>
  <c r="I70" i="1" s="1"/>
  <c r="H68" i="1"/>
  <c r="H70" i="1" s="1"/>
  <c r="G68" i="1"/>
  <c r="G70" i="1" s="1"/>
  <c r="F68" i="1"/>
  <c r="F70" i="1" s="1"/>
  <c r="E68" i="1"/>
  <c r="E70" i="1" s="1"/>
  <c r="D68" i="1"/>
  <c r="C68" i="1"/>
  <c r="P51" i="1"/>
  <c r="M57" i="1"/>
  <c r="L57" i="1"/>
  <c r="M48" i="1"/>
  <c r="L48" i="1"/>
  <c r="M43" i="1"/>
  <c r="L43" i="1"/>
  <c r="M37" i="1"/>
  <c r="L37" i="1"/>
  <c r="L64" i="1" l="1"/>
  <c r="M64" i="1"/>
  <c r="B41" i="11" s="1"/>
  <c r="C42" i="11"/>
  <c r="B42" i="11"/>
  <c r="D42" i="11"/>
  <c r="AD9" i="6"/>
  <c r="M33" i="1"/>
  <c r="L33" i="1"/>
  <c r="L38" i="1" s="1"/>
  <c r="L111" i="1" s="1"/>
  <c r="L112" i="1" s="1"/>
  <c r="L113" i="1" s="1"/>
  <c r="L114" i="1" s="1"/>
  <c r="M88" i="1"/>
  <c r="L88" i="1"/>
  <c r="J16" i="1"/>
  <c r="M19" i="1"/>
  <c r="L19" i="1"/>
  <c r="M17" i="1"/>
  <c r="L16" i="1"/>
  <c r="M12" i="1"/>
  <c r="L12" i="1"/>
  <c r="M11" i="1"/>
  <c r="L11" i="1"/>
  <c r="K5" i="5"/>
  <c r="J5" i="5"/>
  <c r="I5" i="5"/>
  <c r="N3" i="5"/>
  <c r="M3" i="5"/>
  <c r="L3" i="5"/>
  <c r="L5" i="5" s="1"/>
  <c r="L17" i="5" s="1"/>
  <c r="AB5" i="6"/>
  <c r="Z5" i="6"/>
  <c r="W5" i="6"/>
  <c r="AB4" i="6"/>
  <c r="Z4" i="6"/>
  <c r="W4" i="6"/>
  <c r="AB21" i="6"/>
  <c r="Z21" i="6"/>
  <c r="W21" i="6"/>
  <c r="AB20" i="6"/>
  <c r="Z20" i="6"/>
  <c r="W20" i="6"/>
  <c r="AB19" i="6"/>
  <c r="Z19" i="6"/>
  <c r="W19" i="6"/>
  <c r="AB17" i="6"/>
  <c r="AB15" i="6"/>
  <c r="Z15" i="6"/>
  <c r="W15" i="6"/>
  <c r="W16" i="6"/>
  <c r="W11" i="6"/>
  <c r="W8" i="6"/>
  <c r="AB16" i="6"/>
  <c r="Z16" i="6"/>
  <c r="Z8" i="6"/>
  <c r="AB8" i="6"/>
  <c r="AB11" i="6"/>
  <c r="Z11" i="6"/>
  <c r="U24" i="6"/>
  <c r="U23" i="6"/>
  <c r="U22" i="6"/>
  <c r="U21" i="6"/>
  <c r="U20" i="6"/>
  <c r="U18" i="6"/>
  <c r="U16" i="6"/>
  <c r="U15" i="6"/>
  <c r="U12" i="6"/>
  <c r="U11" i="6"/>
  <c r="U10" i="6"/>
  <c r="U9" i="6"/>
  <c r="U7" i="6"/>
  <c r="U6" i="6"/>
  <c r="U5" i="6"/>
  <c r="U4" i="6"/>
  <c r="U8" i="6"/>
  <c r="H26" i="6"/>
  <c r="G26" i="6"/>
  <c r="D26" i="6"/>
  <c r="C26" i="6"/>
  <c r="H25" i="6"/>
  <c r="G25" i="6"/>
  <c r="D25" i="6"/>
  <c r="C25" i="6"/>
  <c r="S26" i="6"/>
  <c r="R26" i="6"/>
  <c r="Q26" i="6"/>
  <c r="S25" i="6"/>
  <c r="R25" i="6"/>
  <c r="Q25" i="6"/>
  <c r="I26" i="6"/>
  <c r="I25" i="6"/>
  <c r="L14" i="7"/>
  <c r="L12" i="7"/>
  <c r="L10" i="7"/>
  <c r="L9" i="7"/>
  <c r="L8" i="7"/>
  <c r="L4" i="7"/>
  <c r="L5" i="7"/>
  <c r="B12" i="9"/>
  <c r="L11" i="7"/>
  <c r="L6" i="7"/>
  <c r="C7" i="9"/>
  <c r="C6" i="9"/>
  <c r="C5" i="9"/>
  <c r="C4" i="9"/>
  <c r="B8" i="9"/>
  <c r="G16" i="7"/>
  <c r="H15" i="7"/>
  <c r="H14" i="7"/>
  <c r="H13" i="7"/>
  <c r="H12" i="7"/>
  <c r="H11" i="7"/>
  <c r="H10" i="7"/>
  <c r="H9" i="7"/>
  <c r="H8" i="7"/>
  <c r="H7" i="7"/>
  <c r="H6" i="7"/>
  <c r="H5" i="7"/>
  <c r="H4" i="7"/>
  <c r="P25" i="6"/>
  <c r="O25" i="6"/>
  <c r="N25" i="6"/>
  <c r="J43" i="1"/>
  <c r="I43" i="1"/>
  <c r="H43" i="1"/>
  <c r="G43" i="1"/>
  <c r="F43" i="1"/>
  <c r="E43" i="1"/>
  <c r="D43" i="1"/>
  <c r="C43" i="1"/>
  <c r="K43" i="1"/>
  <c r="T42" i="1"/>
  <c r="B9" i="8"/>
  <c r="D10" i="7" s="1"/>
  <c r="B8" i="8"/>
  <c r="D9" i="7" s="1"/>
  <c r="B7" i="8"/>
  <c r="D8" i="7" s="1"/>
  <c r="B6" i="8"/>
  <c r="D7" i="7" s="1"/>
  <c r="B5" i="8"/>
  <c r="D6" i="7" s="1"/>
  <c r="B4" i="8"/>
  <c r="D5" i="7" s="1"/>
  <c r="B3" i="8"/>
  <c r="D4" i="7" s="1"/>
  <c r="B16" i="7"/>
  <c r="C15" i="7"/>
  <c r="C14" i="7"/>
  <c r="C13" i="7"/>
  <c r="C12" i="7"/>
  <c r="C11" i="7"/>
  <c r="C10" i="7"/>
  <c r="C9" i="7"/>
  <c r="C8" i="7"/>
  <c r="C7" i="7"/>
  <c r="C6" i="7"/>
  <c r="C5" i="7"/>
  <c r="C4" i="7"/>
  <c r="E4" i="7" s="1"/>
  <c r="C96" i="1"/>
  <c r="C93" i="1"/>
  <c r="B40" i="11" l="1"/>
  <c r="D40" i="11"/>
  <c r="C40" i="11"/>
  <c r="D41" i="11"/>
  <c r="C41" i="11"/>
  <c r="L83" i="1"/>
  <c r="K4" i="11"/>
  <c r="M83" i="1"/>
  <c r="L4" i="11"/>
  <c r="P96" i="1"/>
  <c r="B20" i="11"/>
  <c r="P93" i="1"/>
  <c r="B18" i="11"/>
  <c r="L17" i="1"/>
  <c r="L20" i="1" s="1"/>
  <c r="M38" i="1"/>
  <c r="C3" i="12" s="1"/>
  <c r="B3" i="12" s="1"/>
  <c r="M25" i="1"/>
  <c r="L25" i="1"/>
  <c r="M20" i="1"/>
  <c r="J5" i="7"/>
  <c r="J7" i="7"/>
  <c r="J9" i="7"/>
  <c r="L16" i="7"/>
  <c r="E7" i="7"/>
  <c r="J6" i="7"/>
  <c r="J8" i="7"/>
  <c r="J10" i="7"/>
  <c r="H16" i="7"/>
  <c r="E5" i="7"/>
  <c r="P5" i="7" s="1"/>
  <c r="J4" i="7"/>
  <c r="E6" i="7"/>
  <c r="O6" i="7" s="1"/>
  <c r="E10" i="7"/>
  <c r="C16" i="7"/>
  <c r="E8" i="7"/>
  <c r="O8" i="7" s="1"/>
  <c r="E9" i="7"/>
  <c r="P9" i="7" s="1"/>
  <c r="V8" i="6"/>
  <c r="O4" i="7"/>
  <c r="O10" i="7"/>
  <c r="P10" i="7"/>
  <c r="O7" i="7"/>
  <c r="P7" i="7"/>
  <c r="O9" i="7"/>
  <c r="B17" i="6"/>
  <c r="T17" i="6" s="1"/>
  <c r="AD10" i="6" s="1"/>
  <c r="P26" i="6"/>
  <c r="F19" i="6"/>
  <c r="E19" i="6"/>
  <c r="O26" i="6"/>
  <c r="N26" i="6"/>
  <c r="M26" i="6"/>
  <c r="L26" i="6"/>
  <c r="K26" i="6"/>
  <c r="J26" i="6"/>
  <c r="M25" i="6"/>
  <c r="L25" i="6"/>
  <c r="K25" i="6"/>
  <c r="J25" i="6"/>
  <c r="K17" i="5"/>
  <c r="K19" i="11" s="1"/>
  <c r="J17" i="5"/>
  <c r="J19" i="11" s="1"/>
  <c r="I17" i="5"/>
  <c r="I19" i="11" s="1"/>
  <c r="C88" i="1"/>
  <c r="D88" i="1"/>
  <c r="E88" i="1"/>
  <c r="F88" i="1"/>
  <c r="G88" i="1"/>
  <c r="H88" i="1"/>
  <c r="I88" i="1"/>
  <c r="J88" i="1"/>
  <c r="K88" i="1"/>
  <c r="K57" i="1"/>
  <c r="J57" i="1"/>
  <c r="J64" i="1" s="1"/>
  <c r="I57" i="1"/>
  <c r="I64" i="1" s="1"/>
  <c r="H57" i="1"/>
  <c r="H64" i="1" s="1"/>
  <c r="G57" i="1"/>
  <c r="G64" i="1" s="1"/>
  <c r="F57" i="1"/>
  <c r="F64" i="1" s="1"/>
  <c r="E57" i="1"/>
  <c r="E64" i="1" s="1"/>
  <c r="D57" i="1"/>
  <c r="C57" i="1"/>
  <c r="K48" i="1"/>
  <c r="J48" i="1"/>
  <c r="I48" i="1"/>
  <c r="H48" i="1"/>
  <c r="G48" i="1"/>
  <c r="F48" i="1"/>
  <c r="E48" i="1"/>
  <c r="D48" i="1"/>
  <c r="C48" i="1"/>
  <c r="K37" i="1"/>
  <c r="J37" i="1"/>
  <c r="I37" i="1"/>
  <c r="H37" i="1"/>
  <c r="G37" i="1"/>
  <c r="F37" i="1"/>
  <c r="E37" i="1"/>
  <c r="D37" i="1"/>
  <c r="C37" i="1"/>
  <c r="K33" i="1"/>
  <c r="J33" i="1"/>
  <c r="I33" i="1"/>
  <c r="H33" i="1"/>
  <c r="G33" i="1"/>
  <c r="F33" i="1"/>
  <c r="E33" i="1"/>
  <c r="D33" i="1"/>
  <c r="C33" i="1"/>
  <c r="S33" i="1" s="1"/>
  <c r="K19" i="1"/>
  <c r="J19" i="1"/>
  <c r="I19" i="1"/>
  <c r="H19" i="1"/>
  <c r="G19" i="1"/>
  <c r="F19" i="1"/>
  <c r="E19" i="1"/>
  <c r="D19" i="1"/>
  <c r="C19" i="1"/>
  <c r="K17" i="1"/>
  <c r="J17" i="1"/>
  <c r="I17" i="1"/>
  <c r="H17" i="1"/>
  <c r="G17" i="1"/>
  <c r="F17" i="1"/>
  <c r="E17" i="1"/>
  <c r="D17" i="1"/>
  <c r="C17" i="1"/>
  <c r="K12" i="1"/>
  <c r="J12" i="1"/>
  <c r="I12" i="1"/>
  <c r="H12" i="1"/>
  <c r="G12" i="1"/>
  <c r="F12" i="1"/>
  <c r="E12" i="1"/>
  <c r="D12" i="1"/>
  <c r="C12" i="1"/>
  <c r="K11" i="1"/>
  <c r="J11" i="1"/>
  <c r="I11" i="1"/>
  <c r="H11" i="1"/>
  <c r="G11" i="1"/>
  <c r="F11" i="1"/>
  <c r="E11" i="1"/>
  <c r="D11" i="1"/>
  <c r="C11" i="1"/>
  <c r="E25" i="1" l="1"/>
  <c r="E23" i="1" s="1"/>
  <c r="D4" i="11"/>
  <c r="C25" i="1"/>
  <c r="C23" i="1" s="1"/>
  <c r="P11" i="1"/>
  <c r="Q11" i="1" s="1"/>
  <c r="B4" i="11"/>
  <c r="G25" i="1"/>
  <c r="G82" i="1" s="1"/>
  <c r="F4" i="11"/>
  <c r="K25" i="1"/>
  <c r="K23" i="1" s="1"/>
  <c r="J4" i="11"/>
  <c r="D25" i="1"/>
  <c r="D23" i="1" s="1"/>
  <c r="C4" i="11"/>
  <c r="H25" i="1"/>
  <c r="H23" i="1" s="1"/>
  <c r="G4" i="11"/>
  <c r="I25" i="1"/>
  <c r="I23" i="1" s="1"/>
  <c r="H4" i="11"/>
  <c r="F25" i="1"/>
  <c r="F82" i="1" s="1"/>
  <c r="E4" i="11"/>
  <c r="J25" i="1"/>
  <c r="J23" i="1" s="1"/>
  <c r="I4" i="11"/>
  <c r="T19" i="6"/>
  <c r="Q37" i="1"/>
  <c r="C117" i="1"/>
  <c r="S43" i="1"/>
  <c r="M111" i="1"/>
  <c r="M112" i="1" s="1"/>
  <c r="M113" i="1" s="1"/>
  <c r="M114" i="1" s="1"/>
  <c r="K64" i="1"/>
  <c r="U19" i="6"/>
  <c r="E25" i="6"/>
  <c r="E26" i="6"/>
  <c r="Z17" i="6"/>
  <c r="W17" i="6"/>
  <c r="B25" i="6"/>
  <c r="U17" i="6"/>
  <c r="V15" i="6" s="1"/>
  <c r="B26" i="6"/>
  <c r="Z26" i="6" s="1"/>
  <c r="F25" i="6"/>
  <c r="F26" i="6"/>
  <c r="AB26" i="6"/>
  <c r="L23" i="1"/>
  <c r="L82" i="1"/>
  <c r="L84" i="1" s="1"/>
  <c r="M23" i="1"/>
  <c r="M82" i="1"/>
  <c r="M84" i="1" s="1"/>
  <c r="Q33" i="1"/>
  <c r="C83" i="1"/>
  <c r="D83" i="1"/>
  <c r="F83" i="1"/>
  <c r="J83" i="1"/>
  <c r="G83" i="1"/>
  <c r="H83" i="1"/>
  <c r="E83" i="1"/>
  <c r="I83" i="1"/>
  <c r="O5" i="7"/>
  <c r="P8" i="7"/>
  <c r="P6" i="7"/>
  <c r="J16" i="7"/>
  <c r="J18" i="7" s="1"/>
  <c r="J19" i="7" s="1"/>
  <c r="E16" i="7"/>
  <c r="E20" i="1"/>
  <c r="I20" i="1"/>
  <c r="P4" i="7"/>
  <c r="E18" i="7"/>
  <c r="E19" i="7" s="1"/>
  <c r="F6" i="7"/>
  <c r="O16" i="7"/>
  <c r="K83" i="1"/>
  <c r="C20" i="1"/>
  <c r="G20" i="1"/>
  <c r="K20" i="1"/>
  <c r="F38" i="1"/>
  <c r="F111" i="1" s="1"/>
  <c r="F112" i="1" s="1"/>
  <c r="F113" i="1" s="1"/>
  <c r="F114" i="1" s="1"/>
  <c r="J38" i="1"/>
  <c r="J111" i="1" s="1"/>
  <c r="J112" i="1" s="1"/>
  <c r="J113" i="1" s="1"/>
  <c r="J114" i="1" s="1"/>
  <c r="D38" i="1"/>
  <c r="D111" i="1" s="1"/>
  <c r="D112" i="1" s="1"/>
  <c r="D113" i="1" s="1"/>
  <c r="D114" i="1" s="1"/>
  <c r="H38" i="1"/>
  <c r="H111" i="1" s="1"/>
  <c r="H112" i="1" s="1"/>
  <c r="H113" i="1" s="1"/>
  <c r="H114" i="1" s="1"/>
  <c r="K38" i="1"/>
  <c r="F20" i="1"/>
  <c r="J20" i="1"/>
  <c r="G38" i="1"/>
  <c r="G111" i="1" s="1"/>
  <c r="G112" i="1" s="1"/>
  <c r="G113" i="1" s="1"/>
  <c r="G114" i="1" s="1"/>
  <c r="D20" i="1"/>
  <c r="H20" i="1"/>
  <c r="E38" i="1"/>
  <c r="E111" i="1" s="1"/>
  <c r="E112" i="1" s="1"/>
  <c r="E113" i="1" s="1"/>
  <c r="E114" i="1" s="1"/>
  <c r="I38" i="1"/>
  <c r="I111" i="1" s="1"/>
  <c r="I112" i="1" s="1"/>
  <c r="I113" i="1" s="1"/>
  <c r="I114" i="1" s="1"/>
  <c r="C38" i="1"/>
  <c r="C111" i="1" s="1"/>
  <c r="C112" i="1" s="1"/>
  <c r="C113" i="1" s="1"/>
  <c r="C114" i="1" s="1"/>
  <c r="D82" i="1" l="1"/>
  <c r="F84" i="1"/>
  <c r="G23" i="1"/>
  <c r="I82" i="1"/>
  <c r="I84" i="1" s="1"/>
  <c r="G84" i="1"/>
  <c r="O83" i="1"/>
  <c r="P82" i="1" s="1"/>
  <c r="R82" i="1"/>
  <c r="D84" i="1"/>
  <c r="Q25" i="1"/>
  <c r="J82" i="1"/>
  <c r="J84" i="1" s="1"/>
  <c r="E82" i="1"/>
  <c r="E84" i="1" s="1"/>
  <c r="F23" i="1"/>
  <c r="R25" i="1"/>
  <c r="K82" i="1"/>
  <c r="K84" i="1" s="1"/>
  <c r="C82" i="1"/>
  <c r="C84" i="1" s="1"/>
  <c r="H82" i="1"/>
  <c r="H84" i="1" s="1"/>
  <c r="U25" i="6"/>
  <c r="T26" i="6"/>
  <c r="U26" i="6"/>
  <c r="T25" i="6"/>
  <c r="T41" i="1"/>
  <c r="K111" i="1"/>
  <c r="K112" i="1" s="1"/>
  <c r="K113" i="1" s="1"/>
  <c r="K114" i="1" s="1"/>
  <c r="W26" i="6"/>
  <c r="K4" i="7"/>
  <c r="P16" i="7"/>
  <c r="F8" i="7"/>
  <c r="F7" i="7"/>
  <c r="F5" i="7"/>
  <c r="F10" i="7"/>
  <c r="F4" i="7"/>
  <c r="F9" i="7"/>
  <c r="P83" i="1" l="1"/>
  <c r="U83" i="1" s="1"/>
  <c r="O82" i="1"/>
  <c r="R83" i="1"/>
  <c r="F17" i="7"/>
  <c r="F16" i="7"/>
  <c r="K16" i="7"/>
  <c r="Q42" i="1"/>
  <c r="Q43" i="1"/>
  <c r="T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Sue Maxwell</author>
  </authors>
  <commentList>
    <comment ref="L7" authorId="0" shapeId="0" xr:uid="{860E1F6C-1C9D-2448-8F00-ABEF571C0B7A}">
      <text>
        <r>
          <rPr>
            <b/>
            <sz val="10"/>
            <color rgb="FF000000"/>
            <rFont val="Tahoma"/>
            <family val="2"/>
          </rPr>
          <t>Sue Maxwell:</t>
        </r>
        <r>
          <rPr>
            <sz val="10"/>
            <color rgb="FF000000"/>
            <rFont val="Tahoma"/>
            <family val="2"/>
          </rPr>
          <t xml:space="preserve">
</t>
        </r>
        <r>
          <rPr>
            <sz val="10"/>
            <color rgb="FF000000"/>
            <rFont val="Tahoma"/>
            <family val="2"/>
          </rPr>
          <t>now rolled into TS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Sue Maxwell</author>
  </authors>
  <commentList>
    <comment ref="N3" authorId="0" shapeId="0" xr:uid="{70116D4B-70C0-9344-B66F-8F1B4114D86D}">
      <text>
        <r>
          <rPr>
            <b/>
            <sz val="9"/>
            <color indexed="81"/>
            <rFont val="Calibri"/>
            <family val="2"/>
          </rPr>
          <t>Sue Maxwell:</t>
        </r>
        <r>
          <rPr>
            <sz val="9"/>
            <color indexed="81"/>
            <rFont val="Calibri"/>
            <family val="2"/>
          </rPr>
          <t xml:space="preserve">
estimated this for relatively short term based on the  fact that a lot of PPP infratructure exists but organics very new, slow start to building </t>
        </r>
      </text>
    </comment>
  </commentList>
</comments>
</file>

<file path=xl/sharedStrings.xml><?xml version="1.0" encoding="utf-8"?>
<sst xmlns="http://schemas.openxmlformats.org/spreadsheetml/2006/main" count="592" uniqueCount="480">
  <si>
    <t>Source</t>
  </si>
  <si>
    <t>CC LF</t>
  </si>
  <si>
    <t>VLF</t>
  </si>
  <si>
    <t>WTE</t>
  </si>
  <si>
    <t>contingency</t>
  </si>
  <si>
    <t>Out of region</t>
  </si>
  <si>
    <t>Facility</t>
  </si>
  <si>
    <t>year</t>
  </si>
  <si>
    <t>Total</t>
  </si>
  <si>
    <t>VLF (res and comm)</t>
  </si>
  <si>
    <t>VLF (C&amp;D)</t>
  </si>
  <si>
    <t>total without private C&amp;D</t>
  </si>
  <si>
    <t>Bottom Ash</t>
  </si>
  <si>
    <t>Fly Ash</t>
  </si>
  <si>
    <t>Percent Bottom ash</t>
  </si>
  <si>
    <t>Percent fly ash</t>
  </si>
  <si>
    <t>total ash percent</t>
  </si>
  <si>
    <t xml:space="preserve">GJ in from BC Hydro </t>
  </si>
  <si>
    <t>GJ in from Fortis NG</t>
  </si>
  <si>
    <t>GJ electricity out WTE</t>
  </si>
  <si>
    <t>GJ Steam out WTE</t>
  </si>
  <si>
    <t>CCLFG GJ</t>
  </si>
  <si>
    <t>Coquitlam LFG</t>
  </si>
  <si>
    <t>VLF LFG</t>
  </si>
  <si>
    <t>Total sold</t>
  </si>
  <si>
    <t>stopped using Cache Creek location</t>
  </si>
  <si>
    <t>Catalyst closed</t>
  </si>
  <si>
    <t>WTE total energy in (GJ)</t>
  </si>
  <si>
    <t>WTE total energy out (GJ)</t>
  </si>
  <si>
    <t>Net energy WTE out (GJ)</t>
  </si>
  <si>
    <t>Norampac closed</t>
  </si>
  <si>
    <t>Energy In WTE</t>
  </si>
  <si>
    <t>Energy Out WTE</t>
  </si>
  <si>
    <t>Energy Out LF sold</t>
  </si>
  <si>
    <t>Energy Out LF flared not sold</t>
  </si>
  <si>
    <t>Coquitlam LF</t>
  </si>
  <si>
    <t>Total unsold</t>
  </si>
  <si>
    <t>note that energy unsold is greater than WTE output</t>
  </si>
  <si>
    <t>note that reliant on customer for steam</t>
  </si>
  <si>
    <t>Energy</t>
  </si>
  <si>
    <t>Net GHG emitted</t>
  </si>
  <si>
    <t>note decrease when started flaring gas and capturing it</t>
  </si>
  <si>
    <t xml:space="preserve">note decrease when started flaring gas </t>
  </si>
  <si>
    <t>numbers of LF emissions based on methane of 25 (not higher) and 98% efficiency of flaring</t>
  </si>
  <si>
    <t xml:space="preserve">Vancouver LF </t>
  </si>
  <si>
    <t>Roosevelt LF</t>
  </si>
  <si>
    <t>Columbia Ridge LF</t>
  </si>
  <si>
    <t>total</t>
  </si>
  <si>
    <t>GHG (t CO2E)</t>
  </si>
  <si>
    <t>-</t>
  </si>
  <si>
    <t>Contingency (Roosevelt and Columbia)</t>
  </si>
  <si>
    <t>Notes</t>
  </si>
  <si>
    <t>Population</t>
  </si>
  <si>
    <t>Waste disposed per capita (kgpp)</t>
  </si>
  <si>
    <t>VLF (industrial)</t>
  </si>
  <si>
    <t>unclear how calculated</t>
  </si>
  <si>
    <t>Acid Gas Reduction</t>
  </si>
  <si>
    <t>Biosolids processing</t>
  </si>
  <si>
    <t>Boiler Grate and Feed Table Supports replacement</t>
  </si>
  <si>
    <t>Feed Hopper chute</t>
  </si>
  <si>
    <t>Feedwater pump replacement</t>
  </si>
  <si>
    <t>Lime Silo replacement</t>
  </si>
  <si>
    <t>Primary Economizer replacement</t>
  </si>
  <si>
    <t>Second Pass Superheater replacement</t>
  </si>
  <si>
    <t>Refuse Crane</t>
  </si>
  <si>
    <t>Landfills</t>
  </si>
  <si>
    <t>Alt fuel and recyclables recovery centre</t>
  </si>
  <si>
    <t>coq LF closure</t>
  </si>
  <si>
    <t>Coq LF Fly Ash Cell closure final cover</t>
  </si>
  <si>
    <t>Coq LF gas collection upgrades ph 1 &amp; 2</t>
  </si>
  <si>
    <t>Coq LF Lot 3 dev</t>
  </si>
  <si>
    <t>Coq LF leachate collection grade realignment</t>
  </si>
  <si>
    <t>Coq LF east closure</t>
  </si>
  <si>
    <t>Operating Costs</t>
  </si>
  <si>
    <t>LF</t>
  </si>
  <si>
    <t>Operating costs</t>
  </si>
  <si>
    <t>Ash costs included in above</t>
  </si>
  <si>
    <t>Fly ash</t>
  </si>
  <si>
    <t>bottom ash</t>
  </si>
  <si>
    <t>decreased due to use of ash in new Coquitlam TS</t>
  </si>
  <si>
    <t>Revenue</t>
  </si>
  <si>
    <t>Electric</t>
  </si>
  <si>
    <t>metals</t>
  </si>
  <si>
    <t>revenue per tonne</t>
  </si>
  <si>
    <t>Net cost per tonne</t>
  </si>
  <si>
    <t>does not include tipping fees</t>
  </si>
  <si>
    <t>Budgets from Five year plans</t>
  </si>
  <si>
    <t>Quality control</t>
  </si>
  <si>
    <t>ashcroft ranch</t>
  </si>
  <si>
    <t>Solid waste planning</t>
  </si>
  <si>
    <t>solid waste ops</t>
  </si>
  <si>
    <t>policy and facility deve</t>
  </si>
  <si>
    <t>Programs and public involvement</t>
  </si>
  <si>
    <t>Env Reg and enforce</t>
  </si>
  <si>
    <t>Centralized costs</t>
  </si>
  <si>
    <t>Debt</t>
  </si>
  <si>
    <t xml:space="preserve">To capital </t>
  </si>
  <si>
    <t>Admin</t>
  </si>
  <si>
    <t>Engineers in Training</t>
  </si>
  <si>
    <t>TS -enviro initiatives</t>
  </si>
  <si>
    <t>total minus debt and capital</t>
  </si>
  <si>
    <t>data from http://www.metrovancouver.org/services/financial-services/programs-budget/BudgetPublications/2013Budget.pdf</t>
  </si>
  <si>
    <t>New WTE capacity</t>
  </si>
  <si>
    <t>minor capital</t>
  </si>
  <si>
    <t>residuals</t>
  </si>
  <si>
    <t>CEMS upgrade design</t>
  </si>
  <si>
    <t>seismic upgrades design</t>
  </si>
  <si>
    <t>LF fly ash cell</t>
  </si>
  <si>
    <t>data from http://www.metrovancouver.org/services/financial-services/programs-budget/BudgetPublications/2014FinancialInformation.pdf</t>
  </si>
  <si>
    <t>sustainability fund</t>
  </si>
  <si>
    <t>CEMS upgrade construction</t>
  </si>
  <si>
    <t>Soot Blower replacement</t>
  </si>
  <si>
    <t>Coq LF leachate collection realignment design</t>
  </si>
  <si>
    <t>Coq LF gas collection upgrade design ph 2</t>
  </si>
  <si>
    <t>CC LF closure</t>
  </si>
  <si>
    <t>Coq LF closure</t>
  </si>
  <si>
    <t>New WTE</t>
  </si>
  <si>
    <t>budget</t>
  </si>
  <si>
    <t>of 470,000,000</t>
  </si>
  <si>
    <t>http://www.metrovancouver.org/services/financial-services/programs-budget/BudgetPublications/2015FinancialInformation.pdf</t>
  </si>
  <si>
    <t>note the totals do not add up to what is noted in their budgets</t>
  </si>
  <si>
    <t>separate budget</t>
  </si>
  <si>
    <t>enforcement</t>
  </si>
  <si>
    <t>software development</t>
  </si>
  <si>
    <t xml:space="preserve">admin </t>
  </si>
  <si>
    <t>gas burner replacement</t>
  </si>
  <si>
    <t>Coq LF fly ash cell 2 closure construction</t>
  </si>
  <si>
    <t>now 517000000</t>
  </si>
  <si>
    <t>Coq LF gas beneficial use</t>
  </si>
  <si>
    <t>District heating design</t>
  </si>
  <si>
    <t>http://www.metrovancouver.org/services/financial-services/programs-budget/BudgetPublications/2016Budget.pdf</t>
  </si>
  <si>
    <t>Coq LF fly ash cell 2 Closure design cover</t>
  </si>
  <si>
    <t>bottom ash dischargers construction</t>
  </si>
  <si>
    <t>http://www.metrovancouver.org/services/financial-services/programs-budget/BudgetPublications/2010Budget.pdf</t>
  </si>
  <si>
    <t>ZW implementation</t>
  </si>
  <si>
    <t>Coq LF gas collection upgrade construction</t>
  </si>
  <si>
    <t>CCLF gas capture upgrade</t>
  </si>
  <si>
    <t>Disposal options</t>
  </si>
  <si>
    <t>Coq LF leachate upgrades</t>
  </si>
  <si>
    <t>NOX reduction design</t>
  </si>
  <si>
    <t>fabric filter baghouse expansion construction</t>
  </si>
  <si>
    <t>http://www.metrovancouver.org/services/financial-services/programs-budget/BudgetPublications/2011Budget.pdf</t>
  </si>
  <si>
    <t>integrated waste and resources</t>
  </si>
  <si>
    <t>Coq LF gas collection upgrades  Ph 2 construction</t>
  </si>
  <si>
    <t>Costs per tonne</t>
  </si>
  <si>
    <t>revenue not included yet still higher -see costs WTE only tab</t>
  </si>
  <si>
    <t>total inc fly ash parts</t>
  </si>
  <si>
    <t>ceased</t>
  </si>
  <si>
    <t>total excluding fly ash and alt fuel and recyclables recovery centre</t>
  </si>
  <si>
    <t>decline in output sold</t>
  </si>
  <si>
    <t>increase in energy input</t>
  </si>
  <si>
    <t xml:space="preserve">Metro Vancouver 2019 Biennial Report Integrated Solid Waste and resource Management Plan (Jan 2020) Accessed at http://www.metrovancouver.org/services/solid-waste/SolidWastePublications/2019ISWRMPBiennialReport.pdf. </t>
  </si>
  <si>
    <t>see capital costs tab to see that WTE is far more expensive than LF</t>
  </si>
  <si>
    <t>Relative % by weight</t>
  </si>
  <si>
    <t>Relative tonnage for 253,126 tonnes</t>
  </si>
  <si>
    <t>relative energy (average**)GJ/tonne</t>
  </si>
  <si>
    <t>Total energy available^ (GJ)</t>
  </si>
  <si>
    <t>% of total energy</t>
  </si>
  <si>
    <t>Upcoming reduction initiatives</t>
  </si>
  <si>
    <t>Potential impact of actual waste reduction</t>
  </si>
  <si>
    <t>Energy with reduction (2017) GJ</t>
  </si>
  <si>
    <t>Energy with 90% reduction for all (effective programs and bans)(2020) GJ</t>
  </si>
  <si>
    <r>
      <t>Paper</t>
    </r>
    <r>
      <rPr>
        <sz val="10"/>
        <rFont val="Times New Roman"/>
        <family val="1"/>
      </rPr>
      <t xml:space="preserve"> </t>
    </r>
  </si>
  <si>
    <t>PPP program,MOE to regulate ICI EPR</t>
  </si>
  <si>
    <t>20% reduction</t>
  </si>
  <si>
    <t>Plastic</t>
  </si>
  <si>
    <t>Compostable Organics</t>
  </si>
  <si>
    <t>Metro ban on organics by 2015, numerous collection programs</t>
  </si>
  <si>
    <t>50% reduction</t>
  </si>
  <si>
    <t xml:space="preserve">Non Compostable Organics </t>
  </si>
  <si>
    <t>Metro initiatives, 2017 MOE C&amp;D EPR</t>
  </si>
  <si>
    <t>Metals</t>
  </si>
  <si>
    <t>Glass</t>
  </si>
  <si>
    <r>
      <t>Building Material</t>
    </r>
    <r>
      <rPr>
        <sz val="10"/>
        <rFont val="Times New Roman"/>
        <family val="1"/>
      </rPr>
      <t xml:space="preserve"> </t>
    </r>
  </si>
  <si>
    <t>10% reduction</t>
  </si>
  <si>
    <t>Electronic Waste</t>
  </si>
  <si>
    <t>EPR programs</t>
  </si>
  <si>
    <t>Household Hazardous</t>
  </si>
  <si>
    <t>Household Hygiene</t>
  </si>
  <si>
    <t>Future research</t>
  </si>
  <si>
    <t>Bulky Objects</t>
  </si>
  <si>
    <t>EPR large appliances, MOE future EPR for furniture and textiles</t>
  </si>
  <si>
    <t xml:space="preserve">Fines </t>
  </si>
  <si>
    <t>reductions commensurate with other categories</t>
  </si>
  <si>
    <t>energy per tonne</t>
  </si>
  <si>
    <t xml:space="preserve"> </t>
  </si>
  <si>
    <t>* Energy data from http://www.metrovancouver.org/about/publications/Publications/SolidWasteCompositionStudyFinal-2007.pdf</t>
  </si>
  <si>
    <t>http://www.metrovancouver.org/services/solid-waste/SolidWastePublications/Solid_WasteComposition_Study_2018.pdf</t>
  </si>
  <si>
    <t>** just used average energy content for quick numbers, but could go through subcategory by subcategory to get exact content for 2018. Also study only did it for largest materials. Inorganics have very little energy.</t>
  </si>
  <si>
    <t>^this is the energy in the materials but is not the amount of energy delivered by WTE as the efficiency level are far lower.</t>
  </si>
  <si>
    <t>Type of materials (2007 comp study)</t>
  </si>
  <si>
    <t>2007 energy/tonnes (GJ/t)</t>
  </si>
  <si>
    <t>Inorganic</t>
  </si>
  <si>
    <t>costs went up as all bottom ash to LF</t>
  </si>
  <si>
    <t>http://www.metrovancouver.org/boards/ZeroWaste/ZWA_2021-July-16_AGE.pdf</t>
  </si>
  <si>
    <t>The above statement does not take into account the $2.5 million wasted on trying to develop new WTE(column Q of Cost-operating tab) and the 1/2 billion dollars that was proposed for building it</t>
  </si>
  <si>
    <t>energy sold per tonne in GJ</t>
  </si>
  <si>
    <t>annualized cost</t>
  </si>
  <si>
    <t>without SO project</t>
  </si>
  <si>
    <t>http://www.metrovancouver.org/about/programs-budget/BudgetPublications/2023-2027FinancialPlan-CommitteeReview.pdf</t>
  </si>
  <si>
    <t>tipping fees</t>
  </si>
  <si>
    <t>energy sales</t>
  </si>
  <si>
    <t>other external revenue</t>
  </si>
  <si>
    <t>contribution to reserve landfills (new for 2022)</t>
  </si>
  <si>
    <t>From 2023 budget http://www.metrovancouver.org/about/programs-budget/BudgetPublications/2023-2027FinancialPlan-CommitteeReview.pdf</t>
  </si>
  <si>
    <t xml:space="preserve">UN Turning off the Tap -says requires minimum average of 7 Mj/kg of waste to avoid additional energy inputs. Pg 45 of https://wedocs.unep.org/bitstream/handle/20.500.11822/42277/Plastic_pollution.pdf?sequence=4 </t>
  </si>
  <si>
    <t>GJ/t</t>
  </si>
  <si>
    <t>Mj/kg</t>
  </si>
  <si>
    <t xml:space="preserve"> * 1000kg/t, 100Mj/GJ</t>
  </si>
  <si>
    <t>which would happen if actually decreased paper, plastric and organcis to WTE.</t>
  </si>
  <si>
    <t xml:space="preserve">Type of materials </t>
  </si>
  <si>
    <t>SF</t>
  </si>
  <si>
    <t>MF</t>
  </si>
  <si>
    <t>ICI</t>
  </si>
  <si>
    <t>DO</t>
  </si>
  <si>
    <t>2022 Waste comp -page 16</t>
  </si>
  <si>
    <t>tonnes</t>
  </si>
  <si>
    <t>%</t>
  </si>
  <si>
    <t>Note C&amp;D not separated</t>
  </si>
  <si>
    <t xml:space="preserve">Note books </t>
  </si>
  <si>
    <t>Divertible with existing systems</t>
  </si>
  <si>
    <t>2022 Metro Vancouver Waste Composition Study</t>
  </si>
  <si>
    <t>Recycling and Waste Centres</t>
  </si>
  <si>
    <t>either a TS project or WTE at an old LF site so did not include in total</t>
  </si>
  <si>
    <t>Weigh scale replacements, maintenance, compactoir rep0lacement, upgrades, depots development in Langley and North Surrey</t>
  </si>
  <si>
    <t>Sources</t>
  </si>
  <si>
    <t>https://metrovancouver.org/boards/ZeroWaste/ZWA_2023-Jul-13_AGE.pdf</t>
  </si>
  <si>
    <t>Ongoing or future capital projects</t>
  </si>
  <si>
    <t>https://metrovancouver.org/about-us/Documents/financial-plan-standing-committee-reports-2020-2024.pdf</t>
  </si>
  <si>
    <t>https://metrovancouver.org/about-us/Documents/financial-plan-standing-committee-reports-2021-2025.pdf</t>
  </si>
  <si>
    <t>revenue from 2022-2026 financial plan</t>
  </si>
  <si>
    <t>https://metrovancouver.org/about-us/Documents/financial-plan-2020-2024.pdf</t>
  </si>
  <si>
    <t>costs per tonne</t>
  </si>
  <si>
    <t>2020-2024</t>
  </si>
  <si>
    <t>note classified as Landfill? Noted $60 M total project in 2020 plan</t>
  </si>
  <si>
    <t>Bottom ash crane replacement</t>
  </si>
  <si>
    <t>NoX reduction additional design/siting/equip/construction</t>
  </si>
  <si>
    <t>furnace Liner Upgrade</t>
  </si>
  <si>
    <t>Carbon Silo replacement</t>
  </si>
  <si>
    <t>air system piping replacement</t>
  </si>
  <si>
    <t>boiler and APC roof repalcement</t>
  </si>
  <si>
    <t>eletrical transformer replacement</t>
  </si>
  <si>
    <t>Coq LF pump station upgrade</t>
  </si>
  <si>
    <t>Coq TS Compactor replacement</t>
  </si>
  <si>
    <t>Maple Ridge TS Upgrade</t>
  </si>
  <si>
    <t>Coq TS replacement</t>
  </si>
  <si>
    <t>Langley Recycle Depot development</t>
  </si>
  <si>
    <t>NS TS Compactor replacement (two)</t>
  </si>
  <si>
    <t>Central Surrey Recycling and Waste Drop off</t>
  </si>
  <si>
    <t>Central Surrey TS compactor replacement</t>
  </si>
  <si>
    <t>North Surrey Recycling Depot development</t>
  </si>
  <si>
    <t>Bottom Ash Processing</t>
  </si>
  <si>
    <t>Compressed Air System Replacement</t>
  </si>
  <si>
    <t>Fire Suppression System</t>
  </si>
  <si>
    <t>Fly Ash Silo Refurbishment</t>
  </si>
  <si>
    <t>Generation Bank Replacement</t>
  </si>
  <si>
    <t>Fabric Filter Hopper and Pulse HeaderReplacement</t>
  </si>
  <si>
    <t>Primary Superheater Replacement</t>
  </si>
  <si>
    <t>Programmable Logic Controllers Replacement</t>
  </si>
  <si>
    <t>Pug Mill Enclosure Ventilation System Replacement</t>
  </si>
  <si>
    <t>Refuse Pit Bunker Door Replacement</t>
  </si>
  <si>
    <t>2023-2027</t>
  </si>
  <si>
    <t>Secondary Economizers Replacement</t>
  </si>
  <si>
    <t>Soot Blower Piping Replacement</t>
  </si>
  <si>
    <t>Special Handle Waste Direct Feed System</t>
  </si>
  <si>
    <t>Stack Refurbishment</t>
  </si>
  <si>
    <t xml:space="preserve">WTE Facility District Heating </t>
  </si>
  <si>
    <t>WTE Facility District Heating Opportunities</t>
  </si>
  <si>
    <t>total new</t>
  </si>
  <si>
    <t>total maintenance</t>
  </si>
  <si>
    <t>2020-2027</t>
  </si>
  <si>
    <t>2025-2027</t>
  </si>
  <si>
    <t>2024-2027</t>
  </si>
  <si>
    <t>Questions?</t>
  </si>
  <si>
    <t>Sum 2010-2022</t>
  </si>
  <si>
    <t>74% inc in 17 yrs</t>
  </si>
  <si>
    <t>35% predicted since 2022</t>
  </si>
  <si>
    <t>change 2010-2022</t>
  </si>
  <si>
    <t>change 2010-2027</t>
  </si>
  <si>
    <t>change 2022-2027</t>
  </si>
  <si>
    <t>29% increase in 12 yrs</t>
  </si>
  <si>
    <t>20% decline</t>
  </si>
  <si>
    <t>less in plann and policy</t>
  </si>
  <si>
    <t>TS system (renamed Recycling and Waste Centre for 2022)</t>
  </si>
  <si>
    <t>source: ZWC report summer 2020 for 2017-2019</t>
  </si>
  <si>
    <t>161309 t of wood</t>
  </si>
  <si>
    <t>some C&amp;D does leave</t>
  </si>
  <si>
    <t>% of waste to  WTE 2018</t>
  </si>
  <si>
    <t>Bottom ash used in Coquitlam TS (76000)  -spread over 2017 - 2019</t>
  </si>
  <si>
    <t>Assumes wood burned as energy is included</t>
  </si>
  <si>
    <t>Total Generation</t>
  </si>
  <si>
    <t>Reuse (t)</t>
  </si>
  <si>
    <t>CC LF GJ</t>
  </si>
  <si>
    <t>Coquitlam LF GJ</t>
  </si>
  <si>
    <t>VLF GJ</t>
  </si>
  <si>
    <t>note jump when steam not sold, also calculation change for this in 2012 and all numbers revised; also note differs from BC inventory so does not include biogenic GHG</t>
  </si>
  <si>
    <t>WTE (non-biogenic)</t>
  </si>
  <si>
    <t>WTE total</t>
  </si>
  <si>
    <t>Emissions per tonne waste processed (tC02e)</t>
  </si>
  <si>
    <t>Generation rate per capita (kgpp)</t>
  </si>
  <si>
    <t>Waste landfilled per capita (not inc WTE nor ash) kgpp</t>
  </si>
  <si>
    <t>MV numbers for waste landfilled per capita (pg 57 2019 report, pg 59 2021 report)</t>
  </si>
  <si>
    <t>for comparison to try to see if matched reported numbers in line above</t>
  </si>
  <si>
    <t>Operating costs only</t>
  </si>
  <si>
    <t>Note capital costs for LF are inclouded in oeprating costs as charged by operators</t>
  </si>
  <si>
    <t>Other WTE numbers from other report</t>
  </si>
  <si>
    <t>Note  WTE takes 1/5 of waste but has over 4 times the capital costs of LF while still being more expensive per tonne (assumes that for LF run by others the capital costs are part of the price so would be in operating costs</t>
  </si>
  <si>
    <t>includes all LF inc private but not the two kinds of ash</t>
  </si>
  <si>
    <t>which would happen if actually decreased paper, plastic and organics to WTE.</t>
  </si>
  <si>
    <t>source: 2021 MV Annual Recycling and Solid Waste Management Summary</t>
  </si>
  <si>
    <t>2021 Recycling and Solid Waste Summary + 2021 WTEF Annual Report</t>
  </si>
  <si>
    <t>166571 MWh</t>
  </si>
  <si>
    <t>tonnes/year</t>
  </si>
  <si>
    <t>maximum interpretation of reduction efforts</t>
  </si>
  <si>
    <t>Sum 2010-2020</t>
  </si>
  <si>
    <t>disposal 2010-2020</t>
  </si>
  <si>
    <t>cost per tonne</t>
  </si>
  <si>
    <t>Landfill only</t>
  </si>
  <si>
    <t xml:space="preserve">savings </t>
  </si>
  <si>
    <t>2020 annual Zwish</t>
  </si>
  <si>
    <t>from the provincial reports https://www2.gov.bc.ca/gov/content/environment/climate-change/data/industrial-facility-ghg#bc-emission-report-summaries</t>
  </si>
  <si>
    <t>total MV including biogenic WTE and landfills</t>
  </si>
  <si>
    <t>total WTE MV report + provincial biogenic</t>
  </si>
  <si>
    <t>total MV emissions if used provincial WTE data plus LF</t>
  </si>
  <si>
    <t>WTE (biogenic) -provincial report</t>
  </si>
  <si>
    <t>total MV emissions if used provincial WTE and VLF data</t>
  </si>
  <si>
    <t>Ranking by single point source</t>
  </si>
  <si>
    <t>note for all unclear if all projects proceeded and what final costs were</t>
  </si>
  <si>
    <t>Note 2021 onwards are budget only, not actuals</t>
  </si>
  <si>
    <t>did not included waste water residuals , not WT in VLF</t>
  </si>
  <si>
    <t>does not include source separated wood burned as fuel</t>
  </si>
  <si>
    <t>Metro Van stated disposal per capita (kgpp)</t>
  </si>
  <si>
    <t>waste in tonnes</t>
  </si>
  <si>
    <t>Recycling + Organics + Wood for burning(t)</t>
  </si>
  <si>
    <t>Claimed Diversion rate</t>
  </si>
  <si>
    <t xml:space="preserve">new category in 2020 </t>
  </si>
  <si>
    <t>change -2020 -from 2010</t>
  </si>
  <si>
    <t>LF no C&amp;D nor ash nor out of region</t>
  </si>
  <si>
    <t>Number of homes that could be heated and lit with electricity used by incinerator</t>
  </si>
  <si>
    <t>https://www.bchydro.com/powersmart/residential/energy-explained.html</t>
  </si>
  <si>
    <t>Average consumption/yr by home using all electric (Kwh)</t>
  </si>
  <si>
    <t>Average consumption/yr by home using all electric (GJ)</t>
  </si>
  <si>
    <t>Number of homes equivalent electricity</t>
  </si>
  <si>
    <t>Number of homes equivalent gas</t>
  </si>
  <si>
    <t>conversion factor  https://natural-resources.canada.ca/maps-tools-and-publications/publications/energy-publications/energy-efficiency-publications/step-1-calculate-your-energy-costs-and-consumption/step-1-calculate-your-energy-costs-and-consumption/6561</t>
  </si>
  <si>
    <t>total homes</t>
  </si>
  <si>
    <t>GHG (tCO2e)</t>
  </si>
  <si>
    <t>WTE MWh electricity out</t>
  </si>
  <si>
    <t>WTE MWh Steam Out</t>
  </si>
  <si>
    <t>WTE MWh Total Energy Out</t>
  </si>
  <si>
    <t>WTE GHG/GJ Total Energy Out tCO2e/GJ</t>
  </si>
  <si>
    <t>WTE GHG/MWh Total Energy Out tCO2e/MWh</t>
  </si>
  <si>
    <t>WTE GHG/GWh Total Energy Out tCO2e/GWh</t>
  </si>
  <si>
    <t>proportional</t>
  </si>
  <si>
    <t>Steam only WTE GHG/MWh Total Energy Out tCO2e/MWh</t>
  </si>
  <si>
    <t>difference</t>
  </si>
  <si>
    <t>tCO2e/GJ Natural Gas End Use</t>
  </si>
  <si>
    <t>tCO2e/GJ Natural Gas Life Cycle</t>
  </si>
  <si>
    <t>tCO2e/MWh Natural Gas End Use</t>
  </si>
  <si>
    <t>tCO2e/MWh Natural Gas Life Cycle</t>
  </si>
  <si>
    <t>Energy and GHGs</t>
  </si>
  <si>
    <t>WTE GJ electricity out (row 37)</t>
  </si>
  <si>
    <t>WTE Net energy out (GJ) (row 40)</t>
  </si>
  <si>
    <t>WTE GJ Steam Out (row 38)</t>
  </si>
  <si>
    <t>WTE GJ Total Energy Out (row 35)</t>
  </si>
  <si>
    <t>WTE Net energy out (MWh)</t>
  </si>
  <si>
    <t>WTE GHG/MWh Net Energy Out tCO2e/MWh</t>
  </si>
  <si>
    <t>WTE GHG/GWh Net Energy Out tCO2e/GWh</t>
  </si>
  <si>
    <t>two methods to determine steam proportion</t>
  </si>
  <si>
    <t>Difference in GHG when stopped selling steam tCO2e</t>
  </si>
  <si>
    <t>Food recovery network</t>
  </si>
  <si>
    <t>Emissions avoided through ZW (tC02e)</t>
  </si>
  <si>
    <t>https://metrovancouver.org/boards/ZeroWaste/ZWA_2023-Nov-9_AGE.pdf</t>
  </si>
  <si>
    <t xml:space="preserve">updated recent from https://metrovancouver.org/boards/ZeroWaste/ZWA_2023-Nov-9_AGE.pdf </t>
  </si>
  <si>
    <t>changed to $50,300,000 in 2023 from ~ $62.5 Mbut unclear if $ already spent or total budget</t>
  </si>
  <si>
    <t>was 55 M</t>
  </si>
  <si>
    <t>not in newer list</t>
  </si>
  <si>
    <t>New list went from 155.25 M to 248.1 M of current and future spend when inc district energy</t>
  </si>
  <si>
    <t>Homes planned to heat 30 K but will be more energy efficient</t>
  </si>
  <si>
    <t>Landfill (includes private)</t>
  </si>
  <si>
    <t xml:space="preserve">Zero Waste </t>
  </si>
  <si>
    <t>Waste Tonnes</t>
  </si>
  <si>
    <t>Waste Operating costs per tonne</t>
  </si>
  <si>
    <t>WTE net revenue</t>
  </si>
  <si>
    <t>Other funds/reserves</t>
  </si>
  <si>
    <t>Net income or Loss</t>
  </si>
  <si>
    <t>Allocation of project delivery cost New for 2022</t>
  </si>
  <si>
    <t>note no category for energy sales before 2012 -likely in external revenue</t>
  </si>
  <si>
    <t>WTE net of energy revenue</t>
  </si>
  <si>
    <t>also note 2010 and 2011 did not show energy sales as separate line</t>
  </si>
  <si>
    <t>change 2010-2020</t>
  </si>
  <si>
    <t>GHGs</t>
  </si>
  <si>
    <t>total tonnes CO2</t>
  </si>
  <si>
    <t>percentage of waste</t>
  </si>
  <si>
    <t>External LF</t>
  </si>
  <si>
    <t>percentage of GHGs</t>
  </si>
  <si>
    <t>percentage of GHGs without biogenic included</t>
  </si>
  <si>
    <t>BC numbers</t>
  </si>
  <si>
    <t>https://www2.gov.bc.ca/assets/gov/environment/climate-change/cng/methodology/2018-pso-methodology.pdf</t>
  </si>
  <si>
    <t>Natural gas</t>
  </si>
  <si>
    <t>kg CO2e/GJ</t>
  </si>
  <si>
    <t>BC Hydro</t>
  </si>
  <si>
    <t>Alberta (coal)</t>
  </si>
  <si>
    <t>tCO2e/GJ</t>
  </si>
  <si>
    <t>MV WTE non-biogenic</t>
  </si>
  <si>
    <t>blue is in MWh</t>
  </si>
  <si>
    <t>WTE Net GHG (row 53) tCO2e (non biogenic)</t>
  </si>
  <si>
    <t>MV WTE total</t>
  </si>
  <si>
    <t>GHG Calculator Results</t>
  </si>
  <si>
    <t>MSW</t>
  </si>
  <si>
    <t>C&amp;D</t>
  </si>
  <si>
    <t>Number of Years</t>
  </si>
  <si>
    <t>Amount of Disposed Material per year (tonnes)</t>
  </si>
  <si>
    <t>Composition of MSW</t>
  </si>
  <si>
    <t>2020 MV Waste Composition</t>
  </si>
  <si>
    <t>Aerobic Degradation</t>
  </si>
  <si>
    <t>Cumulative CH4 Emissions from GHG Calculator (tonnes CO2 eq)</t>
  </si>
  <si>
    <t>CH4 GWP</t>
  </si>
  <si>
    <t>Cumulative CH4 Emissions (tonnes)</t>
  </si>
  <si>
    <t>Ratio CH4:CO2</t>
  </si>
  <si>
    <t>% CH4</t>
  </si>
  <si>
    <t>% CO2</t>
  </si>
  <si>
    <t>Molecular weight CO2 (kg/kg-mol)</t>
  </si>
  <si>
    <t>Molecular weight CH4 (kg/kg-mol)</t>
  </si>
  <si>
    <t>Cumulative CO2 Emissions (tonnes)</t>
  </si>
  <si>
    <t>Soil Oxidation</t>
  </si>
  <si>
    <t>% LFG recovered</t>
  </si>
  <si>
    <t>Cumulative CH4 emissions released (tonnes)</t>
  </si>
  <si>
    <t>Soil oxidation</t>
  </si>
  <si>
    <t>CO2 from soil oxidation</t>
  </si>
  <si>
    <t>Combustion</t>
  </si>
  <si>
    <t>Cumulative CH4 collected (tonnes)</t>
  </si>
  <si>
    <t>Cumulative CO2 emissions (tonnes)</t>
  </si>
  <si>
    <t>Adjustment</t>
  </si>
  <si>
    <t>Additional Biogenic CO2 emissions (tonnes CO2e)</t>
  </si>
  <si>
    <t>Additional Biogenic CO2 emissions (tonnes CO2e/year)</t>
  </si>
  <si>
    <t>Additional Biogenic CO2 emissions (tonnes CO2e/tonnes disposed)</t>
  </si>
  <si>
    <t>calculated using the Canadian calculator and ratio of emissions CH4 to CO2 -see Biogenic LF emissions</t>
  </si>
  <si>
    <t>averaged over the 30 years</t>
  </si>
  <si>
    <t xml:space="preserve">Landfill biogenic emissions estimate (from aerobic degradation, soil oxidation and </t>
  </si>
  <si>
    <t>Landfills biogenic</t>
  </si>
  <si>
    <t>Landfill -local -total</t>
  </si>
  <si>
    <t xml:space="preserve">% organic </t>
  </si>
  <si>
    <t>note WTE website says $200 K revenue from metal sales</t>
  </si>
  <si>
    <t>increase in generation</t>
  </si>
  <si>
    <t>reduction  if closed WTE and used landfill instead</t>
  </si>
  <si>
    <t>if closed WTE and went ZW</t>
  </si>
  <si>
    <t>used number from sheet Biogenic LF emissions for 2020 and used same estimate for previous years</t>
  </si>
  <si>
    <t>generated</t>
  </si>
  <si>
    <t>disposed</t>
  </si>
  <si>
    <t>Diversion rate</t>
  </si>
  <si>
    <t>disposal avoided</t>
  </si>
  <si>
    <t xml:space="preserve">note that this report shows costs of $69.84 per tonne net http://www.metrovancouver.org/boards/ZeroWaste/ZWA_2021-July-16_AGE.pdf </t>
  </si>
  <si>
    <t>% less disposal</t>
  </si>
  <si>
    <t>Next tabs for info only</t>
  </si>
  <si>
    <t xml:space="preserve">    Source: FEI LTRGP Exhibit B-1, pdf p.23</t>
  </si>
  <si>
    <t>Note this includes wood burned as waste so an overestimate</t>
  </si>
  <si>
    <t>private C&amp;D (corrected using 2021 Biennial report p 56)</t>
  </si>
  <si>
    <t>total WTE emissions in provincial reports (full emission not net of avoided emissions from energy sales)</t>
  </si>
  <si>
    <t>Provincial report on VLF emissions  (not including fugitive emissions)</t>
  </si>
  <si>
    <t>fabric filter baghouse expansion design</t>
  </si>
  <si>
    <t>Aircooled condenser expansion design</t>
  </si>
  <si>
    <t>Turbine Generator Control System Upgrade</t>
  </si>
  <si>
    <t>new from TF list</t>
  </si>
  <si>
    <t>Feedwater Treatment Plant</t>
  </si>
  <si>
    <t>seismic upgrades construction</t>
  </si>
  <si>
    <t>air cooled condenser expansion construction</t>
  </si>
  <si>
    <t>https://metrovancouver.org/boards/ZeroWaste/ZWA_2023-Jun-15_AGE.pdf</t>
  </si>
  <si>
    <t xml:space="preserve">these are operating costs from budget documents; </t>
  </si>
  <si>
    <t xml:space="preserve">2020-2022 have different numbers in this report https://metrovancouver.org/boards/ZeroWaste/ZWA_2023-Jun-15_AGE.pdf </t>
  </si>
  <si>
    <t>costs per tonne other source</t>
  </si>
  <si>
    <t>this number is total emissions with no credit for avoided emissions from energy generation</t>
  </si>
  <si>
    <t>does not include fugitive emissions</t>
  </si>
  <si>
    <t>total LF emissions</t>
  </si>
  <si>
    <t>Note used total project budgetted costs where available and info provided by MV staff where possible</t>
  </si>
  <si>
    <t>note deleted previous items called semi dry scrubber design as they ere renamed this</t>
  </si>
  <si>
    <t>TF said one for design and one for construction</t>
  </si>
  <si>
    <t>Diesel generator replacement</t>
  </si>
  <si>
    <t>actual to date but budget 6.8 M and not completed yet</t>
  </si>
  <si>
    <t>Moved to future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</si>
</sst>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
    <numFmt numFmtId="168" formatCode="0.0"/>
    <numFmt numFmtId="169" formatCode="0.000000"/>
    <numFmt numFmtId="170" formatCode="0.00000"/>
    <numFmt numFmtId="171" formatCode="0.000"/>
  </numFmts>
  <fonts count="14">
    <font>
      <sz val="12"/>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sz val="10"/>
      <color rgb="FF000000"/>
      <name val="Tahoma"/>
      <family val="2"/>
    </font>
    <font>
      <b/>
      <sz val="10"/>
      <color rgb="FF000000"/>
      <name val="Tahoma"/>
      <family val="2"/>
    </font>
    <font>
      <sz val="10"/>
      <name val="Times New Roman,Bold"/>
    </font>
    <font>
      <sz val="10"/>
      <name val="Times New Roman"/>
      <family val="1"/>
    </font>
    <font>
      <sz val="12"/>
      <name val="Calibri"/>
      <family val="2"/>
      <scheme val="minor"/>
    </font>
    <font>
      <b/>
      <sz val="10"/>
      <name val="Times New Roman,Bold"/>
    </font>
    <font>
      <b/>
      <sz val="9"/>
      <color indexed="81"/>
      <name val="Calibri"/>
      <family val="2"/>
    </font>
    <font>
      <sz val="9"/>
      <color indexed="81"/>
      <name val="Calibri"/>
      <family val="2"/>
    </font>
    <font>
      <u/>
      <sz val="12"/>
      <color theme="1"/>
      <name val="Calibri"/>
      <family val="2"/>
      <scheme val="minor"/>
    </font>
    <font>
      <sz val="12"/>
      <color rgb="FF00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DDEBF7"/>
        <bgColor rgb="FF000000"/>
      </patternFill>
    </fill>
  </fills>
  <borders count="4">
    <border>
      <left/>
      <right/>
      <top/>
      <bottom/>
      <diagonal/>
    </border>
    <border>
      <left/>
      <right/>
      <top/>
      <bottom style="thick">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2" fillId="0" borderId="0" xfId="0" applyFont="1"/>
    <xf numFmtId="0" fontId="2" fillId="0" borderId="1" xfId="0" applyFont="1" applyBorder="1"/>
    <xf numFmtId="1" fontId="0" fillId="0" borderId="0" xfId="0" applyNumberFormat="1"/>
    <xf numFmtId="164" fontId="0" fillId="0" borderId="0" xfId="1" applyNumberFormat="1" applyFont="1"/>
    <xf numFmtId="164" fontId="2" fillId="0" borderId="0" xfId="1" applyNumberFormat="1" applyFont="1"/>
    <xf numFmtId="9" fontId="0" fillId="0" borderId="0" xfId="3" applyFont="1"/>
    <xf numFmtId="9" fontId="0" fillId="0" borderId="0" xfId="1" applyNumberFormat="1" applyFont="1"/>
    <xf numFmtId="0" fontId="3" fillId="0" borderId="0" xfId="0" applyFont="1"/>
    <xf numFmtId="0" fontId="0" fillId="2" borderId="0" xfId="0" applyFill="1"/>
    <xf numFmtId="164" fontId="0" fillId="2" borderId="0" xfId="1" applyNumberFormat="1" applyFont="1" applyFill="1"/>
    <xf numFmtId="164" fontId="1" fillId="0" borderId="0" xfId="1" applyNumberFormat="1" applyFont="1"/>
    <xf numFmtId="0" fontId="0" fillId="3" borderId="0" xfId="0" applyFill="1"/>
    <xf numFmtId="164" fontId="0" fillId="3" borderId="0" xfId="1" applyNumberFormat="1" applyFont="1" applyFill="1"/>
    <xf numFmtId="0" fontId="2" fillId="3" borderId="0" xfId="0" applyFont="1" applyFill="1"/>
    <xf numFmtId="164" fontId="2" fillId="3" borderId="0" xfId="1" applyNumberFormat="1" applyFont="1" applyFill="1"/>
    <xf numFmtId="0" fontId="0" fillId="4" borderId="0" xfId="0" applyFill="1"/>
    <xf numFmtId="164" fontId="0" fillId="4" borderId="0" xfId="1" applyNumberFormat="1" applyFont="1" applyFill="1"/>
    <xf numFmtId="0" fontId="2" fillId="4" borderId="0" xfId="0" applyFont="1" applyFill="1"/>
    <xf numFmtId="164" fontId="2" fillId="4" borderId="0" xfId="1" applyNumberFormat="1" applyFont="1" applyFill="1"/>
    <xf numFmtId="0" fontId="0" fillId="0" borderId="0" xfId="0"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0" fillId="5" borderId="0" xfId="0" applyFill="1"/>
    <xf numFmtId="164" fontId="0" fillId="5" borderId="0" xfId="1" applyNumberFormat="1" applyFont="1" applyFill="1"/>
    <xf numFmtId="0" fontId="2" fillId="5" borderId="0" xfId="0" applyFont="1" applyFill="1" applyAlignment="1">
      <alignment horizontal="left" vertical="top" wrapText="1"/>
    </xf>
    <xf numFmtId="0" fontId="2" fillId="5" borderId="0" xfId="0" applyFont="1" applyFill="1"/>
    <xf numFmtId="164" fontId="2" fillId="5" borderId="0" xfId="1" applyNumberFormat="1" applyFont="1" applyFill="1"/>
    <xf numFmtId="164" fontId="2" fillId="0" borderId="0" xfId="0" applyNumberFormat="1" applyFont="1"/>
    <xf numFmtId="164" fontId="0" fillId="0" borderId="0" xfId="0" applyNumberFormat="1"/>
    <xf numFmtId="0" fontId="0" fillId="0" borderId="1" xfId="0" applyBorder="1"/>
    <xf numFmtId="165" fontId="0" fillId="0" borderId="0" xfId="0" applyNumberFormat="1"/>
    <xf numFmtId="165" fontId="2" fillId="0" borderId="0" xfId="0" applyNumberFormat="1" applyFont="1"/>
    <xf numFmtId="165" fontId="0" fillId="3" borderId="0" xfId="0" applyNumberFormat="1" applyFill="1"/>
    <xf numFmtId="0" fontId="0" fillId="6" borderId="0" xfId="0" applyFill="1"/>
    <xf numFmtId="165" fontId="0" fillId="6" borderId="0" xfId="0" applyNumberFormat="1" applyFill="1"/>
    <xf numFmtId="44" fontId="0" fillId="0" borderId="0" xfId="2" applyFont="1"/>
    <xf numFmtId="166" fontId="0" fillId="0" borderId="0" xfId="2" applyNumberFormat="1" applyFont="1"/>
    <xf numFmtId="166" fontId="2" fillId="0" borderId="0" xfId="2" applyNumberFormat="1" applyFont="1"/>
    <xf numFmtId="166" fontId="0" fillId="0" borderId="0" xfId="0" applyNumberFormat="1"/>
    <xf numFmtId="44" fontId="0" fillId="0" borderId="0" xfId="0" applyNumberFormat="1"/>
    <xf numFmtId="0" fontId="0" fillId="7" borderId="0" xfId="0" applyFill="1"/>
    <xf numFmtId="165" fontId="0" fillId="7" borderId="0" xfId="0" applyNumberFormat="1" applyFill="1"/>
    <xf numFmtId="0" fontId="0" fillId="8" borderId="0" xfId="0" applyFill="1"/>
    <xf numFmtId="0" fontId="0" fillId="9" borderId="0" xfId="0" applyFill="1"/>
    <xf numFmtId="0" fontId="0" fillId="10" borderId="0" xfId="0" applyFill="1"/>
    <xf numFmtId="0" fontId="0" fillId="0" borderId="0" xfId="0" applyAlignment="1">
      <alignment vertical="top"/>
    </xf>
    <xf numFmtId="165" fontId="0" fillId="2" borderId="0" xfId="0" applyNumberFormat="1" applyFill="1"/>
    <xf numFmtId="9" fontId="1" fillId="0" borderId="0" xfId="3" applyFont="1"/>
    <xf numFmtId="9" fontId="0" fillId="4" borderId="0" xfId="3" applyFont="1" applyFill="1"/>
    <xf numFmtId="9" fontId="0" fillId="3" borderId="0" xfId="3" applyFont="1" applyFill="1"/>
    <xf numFmtId="0" fontId="0" fillId="11" borderId="0" xfId="0" applyFill="1"/>
    <xf numFmtId="3" fontId="0" fillId="0" borderId="0" xfId="0" applyNumberFormat="1"/>
    <xf numFmtId="0" fontId="6" fillId="2" borderId="0" xfId="0" applyFont="1" applyFill="1"/>
    <xf numFmtId="167" fontId="8" fillId="0" borderId="0" xfId="0" applyNumberFormat="1" applyFont="1"/>
    <xf numFmtId="168" fontId="0" fillId="0" borderId="0" xfId="0" applyNumberFormat="1"/>
    <xf numFmtId="167" fontId="8" fillId="2" borderId="0" xfId="0" applyNumberFormat="1" applyFont="1" applyFill="1"/>
    <xf numFmtId="0" fontId="6" fillId="0" borderId="0" xfId="0" applyFont="1"/>
    <xf numFmtId="0" fontId="9" fillId="0" borderId="0" xfId="0" applyFont="1"/>
    <xf numFmtId="167" fontId="2" fillId="0" borderId="0" xfId="0" applyNumberFormat="1" applyFont="1"/>
    <xf numFmtId="3" fontId="2" fillId="0" borderId="0" xfId="0" applyNumberFormat="1" applyFont="1"/>
    <xf numFmtId="167" fontId="0" fillId="2" borderId="0" xfId="0" applyNumberFormat="1" applyFill="1"/>
    <xf numFmtId="167" fontId="0" fillId="0" borderId="0" xfId="0" applyNumberFormat="1"/>
    <xf numFmtId="0" fontId="2" fillId="0" borderId="2" xfId="0" applyFont="1" applyBorder="1"/>
    <xf numFmtId="9" fontId="0" fillId="12" borderId="0" xfId="3" applyFont="1" applyFill="1"/>
    <xf numFmtId="165" fontId="0" fillId="5" borderId="0" xfId="0" applyNumberFormat="1" applyFill="1"/>
    <xf numFmtId="0" fontId="0" fillId="0" borderId="0" xfId="0" applyAlignment="1">
      <alignment wrapText="1"/>
    </xf>
    <xf numFmtId="166" fontId="2" fillId="0" borderId="2" xfId="0" applyNumberFormat="1" applyFont="1" applyBorder="1"/>
    <xf numFmtId="165" fontId="0" fillId="9" borderId="0" xfId="0" applyNumberFormat="1" applyFill="1"/>
    <xf numFmtId="166" fontId="0" fillId="0" borderId="0" xfId="2" applyNumberFormat="1" applyFont="1" applyFill="1"/>
    <xf numFmtId="9" fontId="0" fillId="0" borderId="0" xfId="3" applyFont="1" applyFill="1"/>
    <xf numFmtId="9" fontId="0" fillId="0" borderId="0" xfId="1" applyNumberFormat="1" applyFont="1" applyFill="1"/>
    <xf numFmtId="164" fontId="0" fillId="0" borderId="0" xfId="1" applyNumberFormat="1" applyFont="1" applyFill="1"/>
    <xf numFmtId="43" fontId="0" fillId="0" borderId="0" xfId="0" applyNumberFormat="1"/>
    <xf numFmtId="0" fontId="3" fillId="13" borderId="0" xfId="0" applyFont="1" applyFill="1" applyAlignment="1">
      <alignment horizontal="left" vertical="top" wrapText="1"/>
    </xf>
    <xf numFmtId="0" fontId="0" fillId="13" borderId="0" xfId="0" applyFill="1"/>
    <xf numFmtId="2" fontId="0" fillId="13" borderId="0" xfId="0" applyNumberFormat="1" applyFill="1"/>
    <xf numFmtId="0" fontId="0" fillId="13" borderId="0" xfId="0" applyFill="1" applyAlignment="1">
      <alignment horizontal="left" vertical="top" wrapText="1"/>
    </xf>
    <xf numFmtId="0" fontId="0" fillId="0" borderId="3" xfId="0" applyBorder="1" applyAlignment="1">
      <alignment horizontal="left" vertical="top" wrapText="1"/>
    </xf>
    <xf numFmtId="0" fontId="0" fillId="0" borderId="3" xfId="0" applyBorder="1"/>
    <xf numFmtId="164" fontId="0" fillId="4" borderId="0" xfId="0" applyNumberFormat="1" applyFill="1"/>
    <xf numFmtId="1" fontId="0" fillId="4" borderId="0" xfId="0" applyNumberFormat="1" applyFill="1"/>
    <xf numFmtId="44" fontId="0" fillId="4" borderId="0" xfId="2" applyFont="1" applyFill="1"/>
    <xf numFmtId="166" fontId="0" fillId="4" borderId="0" xfId="0" applyNumberFormat="1" applyFill="1"/>
    <xf numFmtId="44" fontId="0" fillId="4" borderId="0" xfId="0" applyNumberFormat="1" applyFill="1"/>
    <xf numFmtId="164" fontId="0" fillId="3" borderId="0" xfId="0" applyNumberFormat="1" applyFill="1"/>
    <xf numFmtId="164" fontId="2" fillId="3" borderId="0" xfId="0" applyNumberFormat="1" applyFont="1" applyFill="1"/>
    <xf numFmtId="0" fontId="0" fillId="3" borderId="0" xfId="0" applyFill="1" applyAlignment="1">
      <alignment horizontal="left" vertical="top" wrapText="1"/>
    </xf>
    <xf numFmtId="164" fontId="0" fillId="9" borderId="0" xfId="1" applyNumberFormat="1" applyFont="1" applyFill="1"/>
    <xf numFmtId="164" fontId="1" fillId="0" borderId="0" xfId="1" applyNumberFormat="1" applyFont="1" applyFill="1"/>
    <xf numFmtId="0" fontId="2" fillId="0" borderId="1" xfId="0" applyFont="1" applyBorder="1" applyAlignment="1">
      <alignment wrapText="1"/>
    </xf>
    <xf numFmtId="0" fontId="2" fillId="0" borderId="0" xfId="0" applyFont="1" applyAlignment="1">
      <alignment wrapText="1"/>
    </xf>
    <xf numFmtId="0" fontId="0" fillId="0" borderId="0" xfId="0" applyAlignment="1">
      <alignment horizontal="right"/>
    </xf>
    <xf numFmtId="0" fontId="0" fillId="3" borderId="0" xfId="0" applyFill="1" applyAlignment="1">
      <alignment horizontal="right"/>
    </xf>
    <xf numFmtId="0" fontId="0" fillId="6" borderId="0" xfId="0" applyFill="1" applyAlignment="1">
      <alignment horizontal="right"/>
    </xf>
    <xf numFmtId="0" fontId="0" fillId="5" borderId="0" xfId="0" applyFill="1" applyAlignment="1">
      <alignment horizontal="right"/>
    </xf>
    <xf numFmtId="0" fontId="0" fillId="7" borderId="0" xfId="0" applyFill="1" applyAlignment="1">
      <alignment horizontal="right"/>
    </xf>
    <xf numFmtId="0" fontId="2" fillId="0" borderId="0" xfId="0" applyFont="1" applyAlignment="1">
      <alignment horizontal="left"/>
    </xf>
    <xf numFmtId="0" fontId="2" fillId="0" borderId="0" xfId="0" applyFont="1" applyAlignment="1">
      <alignment horizontal="left" wrapText="1"/>
    </xf>
    <xf numFmtId="0" fontId="12" fillId="0" borderId="0" xfId="0" applyFont="1" applyAlignment="1">
      <alignment horizontal="left"/>
    </xf>
    <xf numFmtId="0" fontId="0" fillId="0" borderId="0" xfId="0" applyAlignment="1">
      <alignment horizontal="left"/>
    </xf>
    <xf numFmtId="169" fontId="0" fillId="0" borderId="0" xfId="0" applyNumberFormat="1"/>
    <xf numFmtId="1" fontId="2" fillId="0" borderId="0" xfId="0" applyNumberFormat="1" applyFont="1"/>
    <xf numFmtId="0" fontId="2" fillId="0" borderId="2" xfId="0" applyFont="1" applyBorder="1" applyAlignment="1">
      <alignment horizontal="left" vertical="top" wrapText="1"/>
    </xf>
    <xf numFmtId="0" fontId="2" fillId="9" borderId="2" xfId="0" applyFont="1" applyFill="1" applyBorder="1"/>
    <xf numFmtId="164" fontId="1" fillId="9" borderId="0" xfId="1" applyNumberFormat="1" applyFont="1" applyFill="1"/>
    <xf numFmtId="170" fontId="1" fillId="0" borderId="0" xfId="1" applyNumberFormat="1" applyFont="1" applyFill="1"/>
    <xf numFmtId="169" fontId="0" fillId="9" borderId="0" xfId="0" applyNumberFormat="1" applyFill="1"/>
    <xf numFmtId="0" fontId="0" fillId="14" borderId="0" xfId="0" applyFill="1" applyAlignment="1">
      <alignment horizontal="left" vertical="top" wrapText="1"/>
    </xf>
    <xf numFmtId="0" fontId="0" fillId="14" borderId="0" xfId="0" applyFill="1"/>
    <xf numFmtId="2" fontId="0" fillId="14" borderId="0" xfId="0" applyNumberFormat="1" applyFill="1"/>
    <xf numFmtId="0" fontId="2" fillId="14" borderId="0" xfId="0" applyFont="1" applyFill="1" applyAlignment="1">
      <alignment horizontal="left" vertical="top" wrapText="1"/>
    </xf>
    <xf numFmtId="167" fontId="0" fillId="0" borderId="0" xfId="3" applyNumberFormat="1" applyFont="1"/>
    <xf numFmtId="171" fontId="0" fillId="0" borderId="0" xfId="0" applyNumberFormat="1"/>
    <xf numFmtId="2" fontId="0" fillId="0" borderId="0" xfId="0" applyNumberFormat="1"/>
    <xf numFmtId="0" fontId="0" fillId="15" borderId="0" xfId="0" applyFill="1" applyAlignment="1">
      <alignment horizontal="left" vertical="top" wrapText="1"/>
    </xf>
    <xf numFmtId="164" fontId="2" fillId="15" borderId="0" xfId="0" applyNumberFormat="1" applyFont="1" applyFill="1"/>
    <xf numFmtId="164" fontId="0" fillId="15" borderId="0" xfId="0" applyNumberFormat="1" applyFill="1"/>
    <xf numFmtId="0" fontId="0" fillId="15" borderId="0" xfId="0" applyFill="1"/>
    <xf numFmtId="43" fontId="2" fillId="0" borderId="0" xfId="0" applyNumberFormat="1" applyFont="1"/>
    <xf numFmtId="9" fontId="2" fillId="0" borderId="0" xfId="3" applyFont="1"/>
    <xf numFmtId="0" fontId="13" fillId="0" borderId="0" xfId="0" applyFont="1" applyAlignment="1">
      <alignment horizontal="left" vertical="center" readingOrder="1"/>
    </xf>
    <xf numFmtId="44" fontId="0" fillId="0" borderId="0" xfId="2" applyFont="1" applyFill="1"/>
    <xf numFmtId="165" fontId="0" fillId="14" borderId="0" xfId="0" applyNumberFormat="1" applyFill="1"/>
    <xf numFmtId="165" fontId="0" fillId="4" borderId="0" xfId="0" applyNumberFormat="1" applyFill="1"/>
    <xf numFmtId="0" fontId="0" fillId="12" borderId="0" xfId="0" applyFill="1"/>
    <xf numFmtId="0" fontId="3" fillId="3" borderId="0" xfId="0" applyFont="1" applyFill="1" applyAlignment="1">
      <alignment horizontal="left" vertical="top" wrapText="1"/>
    </xf>
    <xf numFmtId="0" fontId="3" fillId="4" borderId="0" xfId="0" applyFont="1" applyFill="1" applyAlignment="1">
      <alignment horizontal="left" vertical="top" wrapText="1"/>
    </xf>
    <xf numFmtId="0" fontId="3" fillId="5" borderId="0" xfId="0" applyFont="1" applyFill="1" applyAlignment="1">
      <alignment horizontal="center" vertical="top" wrapText="1"/>
    </xf>
    <xf numFmtId="0" fontId="0" fillId="5" borderId="0" xfId="0" applyFill="1" applyAlignment="1">
      <alignment horizontal="center"/>
    </xf>
    <xf numFmtId="0" fontId="0" fillId="3" borderId="0" xfId="0" applyFill="1" applyAlignment="1">
      <alignment horizontal="center"/>
    </xf>
    <xf numFmtId="0" fontId="13" fillId="0" borderId="0" xfId="0" applyFont="1" applyAlignment="1">
      <alignment horizontal="right"/>
    </xf>
    <xf numFmtId="0" fontId="13" fillId="0" borderId="0" xfId="0" applyFont="1"/>
    <xf numFmtId="165" fontId="13" fillId="16" borderId="0" xfId="0" applyNumberFormat="1" applyFont="1"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28637384580524555"/>
          <c:y val="0.2486774193548387"/>
          <c:w val="0.6938419815328839"/>
          <c:h val="0.71583870967741947"/>
        </c:manualLayout>
      </c:layout>
      <c:barChart>
        <c:barDir val="bar"/>
        <c:grouping val="clustered"/>
        <c:varyColors val="0"/>
        <c:ser>
          <c:idx val="0"/>
          <c:order val="0"/>
          <c:tx>
            <c:strRef>
              <c:f>'GHG comparisons'!$B$2</c:f>
              <c:strCache>
                <c:ptCount val="1"/>
                <c:pt idx="0">
                  <c:v>kg CO2e/GJ</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'GHG comparisons'!$A$3:$A$7</c:f>
              <c:strCache>
                <c:ptCount val="5"/>
                <c:pt idx="0">
                  <c:v>MV WTE total</c:v>
                </c:pt>
                <c:pt idx="1">
                  <c:v>MV WTE non-biogenic</c:v>
                </c:pt>
                <c:pt idx="2">
                  <c:v>Alberta (coal)</c:v>
                </c:pt>
                <c:pt idx="3">
                  <c:v>Natural gas</c:v>
                </c:pt>
                <c:pt idx="4">
                  <c:v>BC Hydro</c:v>
                </c:pt>
              </c:strCache>
            </c:strRef>
          </c:cat>
          <c:val>
            <c:numRef>
              <c:f>'GHG comparisons'!$B$3:$B$7</c:f>
              <c:numCache>
                <c:formatCode>0</c:formatCode>
                <c:ptCount val="5"/>
                <c:pt idx="0">
                  <c:v>783.99786178540921</c:v>
                </c:pt>
                <c:pt idx="1">
                  <c:v>261.95005857961871</c:v>
                </c:pt>
                <c:pt idx="2" formatCode="General">
                  <c:v>222</c:v>
                </c:pt>
                <c:pt idx="3">
                  <c:v>49.87</c:v>
                </c:pt>
                <c:pt idx="4" formatCode="General">
                  <c:v>3</c:v>
                </c:pt>
              </c:numCache>
            </c:numRef>
          </c:val>
          <c:extLst>
            <c:ext xmlns:c16="http://schemas.microsoft.com/office/drawing/2014/chart" uri="{C3380CC4-5D6E-409C-BE32-E72D297353CC}">
              <c16:uniqueId val="{00000000-643A-4341-8934-420554AB65AF}"/>
            </c:ext>
          </c:extLst>
        </c:ser>
        <c:dLbls>
          <c:showLegendKey val="0"/>
          <c:showVal val="1"/>
          <c:showCatName val="0"/>
          <c:showSerName val="0"/>
          <c:showPercent val="0"/>
          <c:showBubbleSize val="0"/>
        </c:dLbls>
        <c:gapWidth val="150"/>
        <c:overlap val="-25"/>
        <c:axId val="516933088"/>
        <c:axId val="458494384"/>
      </c:barChart>
      <c:catAx>
        <c:axId val="51693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mn-lt"/>
                <a:ea typeface="+mn-ea"/>
                <a:cs typeface="+mn-cs"/>
              </a:defRPr>
            </a:pPr>
            <a:endParaRPr lang="en-US"/>
          </a:p>
        </c:txPr>
        <c:crossAx val="458494384"/>
        <c:crosses val="autoZero"/>
        <c:auto val="1"/>
        <c:lblAlgn val="ctr"/>
        <c:lblOffset val="100"/>
        <c:tickLblSkip val="1"/>
        <c:noMultiLvlLbl val="0"/>
      </c:catAx>
      <c:valAx>
        <c:axId val="458494384"/>
        <c:scaling>
          <c:orientation val="minMax"/>
        </c:scaling>
        <c:delete val="1"/>
        <c:axPos val="b"/>
        <c:numFmt formatCode="0" sourceLinked="1"/>
        <c:majorTickMark val="none"/>
        <c:minorTickMark val="none"/>
        <c:tickLblPos val="nextTo"/>
        <c:crossAx val="516933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Metro Vancouver</a:t>
            </a:r>
            <a:r>
              <a:rPr lang="en-US" baseline="0"/>
              <a:t> </a:t>
            </a:r>
            <a:r>
              <a:rPr lang="en-US"/>
              <a:t>Waste 2010-2020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'waste charts'!$A$2</c:f>
              <c:strCache>
                <c:ptCount val="1"/>
                <c:pt idx="0">
                  <c:v>WTE</c:v>
                </c:pt>
              </c:strCache>
            </c:strRef>
          </c:tx>
          <c:spPr>
            <a:solidFill>
              <a:schemeClr val="accent2">
                <a:lumMod val="75000"/>
              </a:schemeClr>
            </a:solidFill>
            <a:ln>
              <a:noFill/>
            </a:ln>
            <a:effectLst/>
          </c:spPr>
          <c:invertIfNegative val="0"/>
          <c:cat>
            <c:numRef>
              <c:f>'waste charts'!$B$1:$L$1</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charts'!$B$2:$L$2</c:f>
              <c:numCache>
                <c:formatCode>General</c:formatCode>
                <c:ptCount val="11"/>
                <c:pt idx="0">
                  <c:v>284468</c:v>
                </c:pt>
                <c:pt idx="1">
                  <c:v>281139</c:v>
                </c:pt>
                <c:pt idx="2">
                  <c:v>281260</c:v>
                </c:pt>
                <c:pt idx="3">
                  <c:v>280138</c:v>
                </c:pt>
                <c:pt idx="4">
                  <c:v>275260</c:v>
                </c:pt>
                <c:pt idx="5">
                  <c:v>256402</c:v>
                </c:pt>
                <c:pt idx="6">
                  <c:v>254256</c:v>
                </c:pt>
                <c:pt idx="7">
                  <c:v>259748</c:v>
                </c:pt>
                <c:pt idx="8">
                  <c:v>253126</c:v>
                </c:pt>
                <c:pt idx="9">
                  <c:v>253148</c:v>
                </c:pt>
                <c:pt idx="10">
                  <c:v>244362</c:v>
                </c:pt>
              </c:numCache>
            </c:numRef>
          </c:val>
          <c:extLst>
            <c:ext xmlns:c16="http://schemas.microsoft.com/office/drawing/2014/chart" uri="{C3380CC4-5D6E-409C-BE32-E72D297353CC}">
              <c16:uniqueId val="{00000000-9A3A-6D4B-AE39-4FB497EF1961}"/>
            </c:ext>
          </c:extLst>
        </c:ser>
        <c:ser>
          <c:idx val="1"/>
          <c:order val="1"/>
          <c:tx>
            <c:strRef>
              <c:f>'waste charts'!$A$3</c:f>
              <c:strCache>
                <c:ptCount val="1"/>
                <c:pt idx="0">
                  <c:v>Landfill (includes private)</c:v>
                </c:pt>
              </c:strCache>
            </c:strRef>
          </c:tx>
          <c:spPr>
            <a:solidFill>
              <a:schemeClr val="bg2">
                <a:lumMod val="75000"/>
              </a:schemeClr>
            </a:solidFill>
            <a:ln>
              <a:noFill/>
            </a:ln>
            <a:effectLst/>
          </c:spPr>
          <c:invertIfNegative val="0"/>
          <c:cat>
            <c:numRef>
              <c:f>'waste charts'!$B$1:$L$1</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charts'!$B$3:$L$3</c:f>
              <c:numCache>
                <c:formatCode>General</c:formatCode>
                <c:ptCount val="11"/>
                <c:pt idx="0">
                  <c:v>1129532</c:v>
                </c:pt>
                <c:pt idx="1">
                  <c:v>1102937</c:v>
                </c:pt>
                <c:pt idx="2">
                  <c:v>1169213</c:v>
                </c:pt>
                <c:pt idx="3">
                  <c:v>1064667</c:v>
                </c:pt>
                <c:pt idx="4">
                  <c:v>1057056</c:v>
                </c:pt>
                <c:pt idx="5">
                  <c:v>992703</c:v>
                </c:pt>
                <c:pt idx="6">
                  <c:v>1004266</c:v>
                </c:pt>
                <c:pt idx="7">
                  <c:v>1026426</c:v>
                </c:pt>
                <c:pt idx="8">
                  <c:v>1035049</c:v>
                </c:pt>
                <c:pt idx="9">
                  <c:v>1042977</c:v>
                </c:pt>
                <c:pt idx="10">
                  <c:v>943025</c:v>
                </c:pt>
              </c:numCache>
            </c:numRef>
          </c:val>
          <c:extLst>
            <c:ext xmlns:c16="http://schemas.microsoft.com/office/drawing/2014/chart" uri="{C3380CC4-5D6E-409C-BE32-E72D297353CC}">
              <c16:uniqueId val="{00000001-9A3A-6D4B-AE39-4FB497EF1961}"/>
            </c:ext>
          </c:extLst>
        </c:ser>
        <c:dLbls>
          <c:showLegendKey val="0"/>
          <c:showVal val="0"/>
          <c:showCatName val="0"/>
          <c:showSerName val="0"/>
          <c:showPercent val="0"/>
          <c:showBubbleSize val="0"/>
        </c:dLbls>
        <c:gapWidth val="150"/>
        <c:overlap val="100"/>
        <c:axId val="455639728"/>
        <c:axId val="488447184"/>
      </c:barChart>
      <c:catAx>
        <c:axId val="45563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447184"/>
        <c:crosses val="autoZero"/>
        <c:auto val="1"/>
        <c:lblAlgn val="ctr"/>
        <c:lblOffset val="100"/>
        <c:noMultiLvlLbl val="0"/>
      </c:catAx>
      <c:valAx>
        <c:axId val="48844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63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Operating costs per tonne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'waste charts'!$A$18</c:f>
              <c:strCache>
                <c:ptCount val="1"/>
                <c:pt idx="0">
                  <c:v>WTE</c:v>
                </c:pt>
              </c:strCache>
            </c:strRef>
          </c:tx>
          <c:spPr>
            <a:ln w="28575" cap="rnd">
              <a:solidFill>
                <a:schemeClr val="accent2">
                  <a:lumMod val="50000"/>
                </a:schemeClr>
              </a:solidFill>
              <a:round/>
            </a:ln>
            <a:effectLst/>
          </c:spPr>
          <c:marker>
            <c:symbol val="none"/>
          </c:marker>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charts'!$B$18:$L$18</c:f>
              <c:numCache>
                <c:formatCode>_("$"* #,##0.00_);_("$"* \(#,##0.00\);_("$"* "-"??_);_(@_)</c:formatCode>
                <c:ptCount val="11"/>
                <c:pt idx="0">
                  <c:v>68.061574588354404</c:v>
                </c:pt>
                <c:pt idx="1">
                  <c:v>67.341663732175192</c:v>
                </c:pt>
                <c:pt idx="2">
                  <c:v>60.769526416838509</c:v>
                </c:pt>
                <c:pt idx="3">
                  <c:v>66.85436463457296</c:v>
                </c:pt>
                <c:pt idx="4">
                  <c:v>80.371296229019833</c:v>
                </c:pt>
                <c:pt idx="5">
                  <c:v>89.478143696227022</c:v>
                </c:pt>
                <c:pt idx="6">
                  <c:v>89.652963941853884</c:v>
                </c:pt>
                <c:pt idx="7">
                  <c:v>79.21510463988173</c:v>
                </c:pt>
                <c:pt idx="8">
                  <c:v>77.500624195064901</c:v>
                </c:pt>
                <c:pt idx="9">
                  <c:v>81.134561600328666</c:v>
                </c:pt>
                <c:pt idx="10">
                  <c:v>96.642984588438466</c:v>
                </c:pt>
              </c:numCache>
            </c:numRef>
          </c:val>
          <c:smooth val="0"/>
          <c:extLst>
            <c:ext xmlns:c16="http://schemas.microsoft.com/office/drawing/2014/chart" uri="{C3380CC4-5D6E-409C-BE32-E72D297353CC}">
              <c16:uniqueId val="{00000000-1B84-7845-911A-513114A8F3CA}"/>
            </c:ext>
          </c:extLst>
        </c:ser>
        <c:ser>
          <c:idx val="1"/>
          <c:order val="1"/>
          <c:tx>
            <c:strRef>
              <c:f>'waste charts'!$A$20</c:f>
              <c:strCache>
                <c:ptCount val="1"/>
                <c:pt idx="0">
                  <c:v>LF</c:v>
                </c:pt>
              </c:strCache>
            </c:strRef>
          </c:tx>
          <c:spPr>
            <a:ln w="28575" cap="rnd">
              <a:solidFill>
                <a:schemeClr val="bg2">
                  <a:lumMod val="75000"/>
                </a:schemeClr>
              </a:solidFill>
              <a:round/>
            </a:ln>
            <a:effectLst/>
          </c:spPr>
          <c:marker>
            <c:symbol val="none"/>
          </c:marker>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charts'!$B$20:$L$20</c:f>
              <c:numCache>
                <c:formatCode>_("$"* #,##0.00_);_("$"* \(#,##0.00\);_("$"* "-"??_);_(@_)</c:formatCode>
                <c:ptCount val="11"/>
                <c:pt idx="0">
                  <c:v>33.246979623543226</c:v>
                </c:pt>
                <c:pt idx="1">
                  <c:v>28.824482087427757</c:v>
                </c:pt>
                <c:pt idx="2">
                  <c:v>30.805251745976566</c:v>
                </c:pt>
                <c:pt idx="3">
                  <c:v>27.582134137174908</c:v>
                </c:pt>
                <c:pt idx="4">
                  <c:v>28.530819288402977</c:v>
                </c:pt>
                <c:pt idx="5">
                  <c:v>25.162747984174967</c:v>
                </c:pt>
                <c:pt idx="6">
                  <c:v>25.321805179955351</c:v>
                </c:pt>
                <c:pt idx="7">
                  <c:v>48.106369446314261</c:v>
                </c:pt>
                <c:pt idx="8">
                  <c:v>62.973825184245982</c:v>
                </c:pt>
                <c:pt idx="9">
                  <c:v>84.299417855173786</c:v>
                </c:pt>
                <c:pt idx="10">
                  <c:v>47.969365851693489</c:v>
                </c:pt>
              </c:numCache>
            </c:numRef>
          </c:val>
          <c:smooth val="0"/>
          <c:extLst>
            <c:ext xmlns:c16="http://schemas.microsoft.com/office/drawing/2014/chart" uri="{C3380CC4-5D6E-409C-BE32-E72D297353CC}">
              <c16:uniqueId val="{00000001-1B84-7845-911A-513114A8F3CA}"/>
            </c:ext>
          </c:extLst>
        </c:ser>
        <c:dLbls>
          <c:showLegendKey val="0"/>
          <c:showVal val="0"/>
          <c:showCatName val="0"/>
          <c:showSerName val="0"/>
          <c:showPercent val="0"/>
          <c:showBubbleSize val="0"/>
        </c:dLbls>
        <c:smooth val="0"/>
        <c:axId val="491651312"/>
        <c:axId val="491379808"/>
      </c:lineChart>
      <c:catAx>
        <c:axId val="4916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379808"/>
        <c:crosses val="autoZero"/>
        <c:auto val="1"/>
        <c:lblAlgn val="ctr"/>
        <c:lblOffset val="100"/>
        <c:noMultiLvlLbl val="0"/>
      </c:catAx>
      <c:valAx>
        <c:axId val="4913798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65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Operating costs per tonne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'waste charts'!$A$18</c:f>
              <c:strCache>
                <c:ptCount val="1"/>
                <c:pt idx="0">
                  <c:v>WTE</c:v>
                </c:pt>
              </c:strCache>
            </c:strRef>
          </c:tx>
          <c:spPr>
            <a:ln w="28575" cap="rnd">
              <a:solidFill>
                <a:schemeClr val="accent2">
                  <a:lumMod val="50000"/>
                </a:schemeClr>
              </a:solidFill>
              <a:round/>
            </a:ln>
            <a:effectLst/>
          </c:spPr>
          <c:marker>
            <c:symbol val="none"/>
          </c:marker>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charts'!$B$18:$L$18</c:f>
              <c:numCache>
                <c:formatCode>_("$"* #,##0.00_);_("$"* \(#,##0.00\);_("$"* "-"??_);_(@_)</c:formatCode>
                <c:ptCount val="11"/>
                <c:pt idx="0">
                  <c:v>68.061574588354404</c:v>
                </c:pt>
                <c:pt idx="1">
                  <c:v>67.341663732175192</c:v>
                </c:pt>
                <c:pt idx="2">
                  <c:v>60.769526416838509</c:v>
                </c:pt>
                <c:pt idx="3">
                  <c:v>66.85436463457296</c:v>
                </c:pt>
                <c:pt idx="4">
                  <c:v>80.371296229019833</c:v>
                </c:pt>
                <c:pt idx="5">
                  <c:v>89.478143696227022</c:v>
                </c:pt>
                <c:pt idx="6">
                  <c:v>89.652963941853884</c:v>
                </c:pt>
                <c:pt idx="7">
                  <c:v>79.21510463988173</c:v>
                </c:pt>
                <c:pt idx="8">
                  <c:v>77.500624195064901</c:v>
                </c:pt>
                <c:pt idx="9">
                  <c:v>81.134561600328666</c:v>
                </c:pt>
                <c:pt idx="10">
                  <c:v>96.642984588438466</c:v>
                </c:pt>
              </c:numCache>
            </c:numRef>
          </c:val>
          <c:smooth val="0"/>
          <c:extLst>
            <c:ext xmlns:c16="http://schemas.microsoft.com/office/drawing/2014/chart" uri="{C3380CC4-5D6E-409C-BE32-E72D297353CC}">
              <c16:uniqueId val="{00000000-83D6-AF41-8D30-AE8C02EDDB78}"/>
            </c:ext>
          </c:extLst>
        </c:ser>
        <c:ser>
          <c:idx val="1"/>
          <c:order val="1"/>
          <c:tx>
            <c:strRef>
              <c:f>'waste charts'!$A$20</c:f>
              <c:strCache>
                <c:ptCount val="1"/>
                <c:pt idx="0">
                  <c:v>LF</c:v>
                </c:pt>
              </c:strCache>
            </c:strRef>
          </c:tx>
          <c:spPr>
            <a:ln w="28575" cap="rnd">
              <a:solidFill>
                <a:schemeClr val="bg2">
                  <a:lumMod val="75000"/>
                </a:schemeClr>
              </a:solidFill>
              <a:round/>
            </a:ln>
            <a:effectLst/>
          </c:spPr>
          <c:marker>
            <c:symbol val="none"/>
          </c:marker>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charts'!$B$20:$L$20</c:f>
              <c:numCache>
                <c:formatCode>_("$"* #,##0.00_);_("$"* \(#,##0.00\);_("$"* "-"??_);_(@_)</c:formatCode>
                <c:ptCount val="11"/>
                <c:pt idx="0">
                  <c:v>33.246979623543226</c:v>
                </c:pt>
                <c:pt idx="1">
                  <c:v>28.824482087427757</c:v>
                </c:pt>
                <c:pt idx="2">
                  <c:v>30.805251745976566</c:v>
                </c:pt>
                <c:pt idx="3">
                  <c:v>27.582134137174908</c:v>
                </c:pt>
                <c:pt idx="4">
                  <c:v>28.530819288402977</c:v>
                </c:pt>
                <c:pt idx="5">
                  <c:v>25.162747984174967</c:v>
                </c:pt>
                <c:pt idx="6">
                  <c:v>25.321805179955351</c:v>
                </c:pt>
                <c:pt idx="7">
                  <c:v>48.106369446314261</c:v>
                </c:pt>
                <c:pt idx="8">
                  <c:v>62.973825184245982</c:v>
                </c:pt>
                <c:pt idx="9">
                  <c:v>84.299417855173786</c:v>
                </c:pt>
                <c:pt idx="10">
                  <c:v>47.969365851693489</c:v>
                </c:pt>
              </c:numCache>
            </c:numRef>
          </c:val>
          <c:smooth val="0"/>
          <c:extLst>
            <c:ext xmlns:c16="http://schemas.microsoft.com/office/drawing/2014/chart" uri="{C3380CC4-5D6E-409C-BE32-E72D297353CC}">
              <c16:uniqueId val="{00000001-83D6-AF41-8D30-AE8C02EDDB78}"/>
            </c:ext>
          </c:extLst>
        </c:ser>
        <c:ser>
          <c:idx val="2"/>
          <c:order val="2"/>
          <c:tx>
            <c:strRef>
              <c:f>'waste charts'!$A$19</c:f>
              <c:strCache>
                <c:ptCount val="1"/>
                <c:pt idx="0">
                  <c:v>WTE net revenue</c:v>
                </c:pt>
              </c:strCache>
            </c:strRef>
          </c:tx>
          <c:spPr>
            <a:ln w="28575" cap="rnd">
              <a:solidFill>
                <a:schemeClr val="tx1"/>
              </a:solidFill>
              <a:round/>
            </a:ln>
            <a:effectLst/>
          </c:spPr>
          <c:marker>
            <c:symbol val="none"/>
          </c:marker>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charts'!$B$19:$L$19</c:f>
              <c:numCache>
                <c:formatCode>_("$"* #,##0.00_);_("$"* \(#,##0.00\);_("$"* "-"??_);_(@_)</c:formatCode>
                <c:ptCount val="11"/>
                <c:pt idx="0">
                  <c:v>0</c:v>
                </c:pt>
                <c:pt idx="1">
                  <c:v>0</c:v>
                </c:pt>
                <c:pt idx="2">
                  <c:v>37.039269714854584</c:v>
                </c:pt>
                <c:pt idx="3">
                  <c:v>40.08184537620744</c:v>
                </c:pt>
                <c:pt idx="4">
                  <c:v>59.388407323984595</c:v>
                </c:pt>
                <c:pt idx="5">
                  <c:v>65.67627007589644</c:v>
                </c:pt>
                <c:pt idx="6">
                  <c:v>67.156346359574599</c:v>
                </c:pt>
                <c:pt idx="7">
                  <c:v>57.490425335325007</c:v>
                </c:pt>
                <c:pt idx="8">
                  <c:v>55.439117277561373</c:v>
                </c:pt>
                <c:pt idx="9">
                  <c:v>58.249119092388639</c:v>
                </c:pt>
                <c:pt idx="10">
                  <c:v>73.392479190708869</c:v>
                </c:pt>
              </c:numCache>
            </c:numRef>
          </c:val>
          <c:smooth val="0"/>
          <c:extLst>
            <c:ext xmlns:c16="http://schemas.microsoft.com/office/drawing/2014/chart" uri="{C3380CC4-5D6E-409C-BE32-E72D297353CC}">
              <c16:uniqueId val="{00000002-83D6-AF41-8D30-AE8C02EDDB78}"/>
            </c:ext>
          </c:extLst>
        </c:ser>
        <c:dLbls>
          <c:showLegendKey val="0"/>
          <c:showVal val="0"/>
          <c:showCatName val="0"/>
          <c:showSerName val="0"/>
          <c:showPercent val="0"/>
          <c:showBubbleSize val="0"/>
        </c:dLbls>
        <c:smooth val="0"/>
        <c:axId val="491651312"/>
        <c:axId val="491379808"/>
      </c:lineChart>
      <c:catAx>
        <c:axId val="4916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379808"/>
        <c:crosses val="autoZero"/>
        <c:auto val="1"/>
        <c:lblAlgn val="ctr"/>
        <c:lblOffset val="100"/>
        <c:noMultiLvlLbl val="0"/>
      </c:catAx>
      <c:valAx>
        <c:axId val="4913798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65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Operating costs per tonne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'waste charts'!$A$18</c:f>
              <c:strCache>
                <c:ptCount val="1"/>
                <c:pt idx="0">
                  <c:v>WTE</c:v>
                </c:pt>
              </c:strCache>
            </c:strRef>
          </c:tx>
          <c:spPr>
            <a:solidFill>
              <a:schemeClr val="accent1"/>
            </a:solidFill>
            <a:ln>
              <a:noFill/>
            </a:ln>
            <a:effectLst/>
          </c:spPr>
          <c:invertIfNegative val="0"/>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charts'!$B$18:$L$18</c:f>
              <c:numCache>
                <c:formatCode>_("$"* #,##0.00_);_("$"* \(#,##0.00\);_("$"* "-"??_);_(@_)</c:formatCode>
                <c:ptCount val="11"/>
                <c:pt idx="0">
                  <c:v>68.061574588354404</c:v>
                </c:pt>
                <c:pt idx="1">
                  <c:v>67.341663732175192</c:v>
                </c:pt>
                <c:pt idx="2">
                  <c:v>60.769526416838509</c:v>
                </c:pt>
                <c:pt idx="3">
                  <c:v>66.85436463457296</c:v>
                </c:pt>
                <c:pt idx="4">
                  <c:v>80.371296229019833</c:v>
                </c:pt>
                <c:pt idx="5">
                  <c:v>89.478143696227022</c:v>
                </c:pt>
                <c:pt idx="6">
                  <c:v>89.652963941853884</c:v>
                </c:pt>
                <c:pt idx="7">
                  <c:v>79.21510463988173</c:v>
                </c:pt>
                <c:pt idx="8">
                  <c:v>77.500624195064901</c:v>
                </c:pt>
                <c:pt idx="9">
                  <c:v>81.134561600328666</c:v>
                </c:pt>
                <c:pt idx="10">
                  <c:v>96.642984588438466</c:v>
                </c:pt>
              </c:numCache>
            </c:numRef>
          </c:val>
          <c:extLst>
            <c:ext xmlns:c16="http://schemas.microsoft.com/office/drawing/2014/chart" uri="{C3380CC4-5D6E-409C-BE32-E72D297353CC}">
              <c16:uniqueId val="{00000000-61C0-F746-AD9F-DCEC7C9735B2}"/>
            </c:ext>
          </c:extLst>
        </c:ser>
        <c:ser>
          <c:idx val="1"/>
          <c:order val="1"/>
          <c:tx>
            <c:strRef>
              <c:f>'waste charts'!$A$19</c:f>
              <c:strCache>
                <c:ptCount val="1"/>
                <c:pt idx="0">
                  <c:v>WTE net revenue</c:v>
                </c:pt>
              </c:strCache>
            </c:strRef>
          </c:tx>
          <c:spPr>
            <a:solidFill>
              <a:schemeClr val="accent2"/>
            </a:solidFill>
            <a:ln>
              <a:noFill/>
            </a:ln>
            <a:effectLst/>
          </c:spPr>
          <c:invertIfNegative val="0"/>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charts'!$B$19:$L$19</c:f>
              <c:numCache>
                <c:formatCode>_("$"* #,##0.00_);_("$"* \(#,##0.00\);_("$"* "-"??_);_(@_)</c:formatCode>
                <c:ptCount val="11"/>
                <c:pt idx="0">
                  <c:v>0</c:v>
                </c:pt>
                <c:pt idx="1">
                  <c:v>0</c:v>
                </c:pt>
                <c:pt idx="2">
                  <c:v>37.039269714854584</c:v>
                </c:pt>
                <c:pt idx="3">
                  <c:v>40.08184537620744</c:v>
                </c:pt>
                <c:pt idx="4">
                  <c:v>59.388407323984595</c:v>
                </c:pt>
                <c:pt idx="5">
                  <c:v>65.67627007589644</c:v>
                </c:pt>
                <c:pt idx="6">
                  <c:v>67.156346359574599</c:v>
                </c:pt>
                <c:pt idx="7">
                  <c:v>57.490425335325007</c:v>
                </c:pt>
                <c:pt idx="8">
                  <c:v>55.439117277561373</c:v>
                </c:pt>
                <c:pt idx="9">
                  <c:v>58.249119092388639</c:v>
                </c:pt>
                <c:pt idx="10">
                  <c:v>73.392479190708869</c:v>
                </c:pt>
              </c:numCache>
            </c:numRef>
          </c:val>
          <c:extLst>
            <c:ext xmlns:c16="http://schemas.microsoft.com/office/drawing/2014/chart" uri="{C3380CC4-5D6E-409C-BE32-E72D297353CC}">
              <c16:uniqueId val="{00000001-61C0-F746-AD9F-DCEC7C9735B2}"/>
            </c:ext>
          </c:extLst>
        </c:ser>
        <c:ser>
          <c:idx val="2"/>
          <c:order val="2"/>
          <c:tx>
            <c:strRef>
              <c:f>'waste charts'!$A$20</c:f>
              <c:strCache>
                <c:ptCount val="1"/>
                <c:pt idx="0">
                  <c:v>LF</c:v>
                </c:pt>
              </c:strCache>
            </c:strRef>
          </c:tx>
          <c:spPr>
            <a:solidFill>
              <a:schemeClr val="accent3"/>
            </a:solidFill>
            <a:ln>
              <a:noFill/>
            </a:ln>
            <a:effectLst/>
          </c:spPr>
          <c:invertIfNegative val="0"/>
          <c:cat>
            <c:numRef>
              <c:f>'waste charts'!$B$17:$L$17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'waste charts'!$B$20:$L$20</c:f>
              <c:numCache>
                <c:formatCode>_("$"* #,##0.00_);_("$"* \(#,##0.00\);_("$"* "-"??_);_(@_)</c:formatCode>
                <c:ptCount val="11"/>
                <c:pt idx="0">
                  <c:v>33.246979623543226</c:v>
                </c:pt>
                <c:pt idx="1">
                  <c:v>28.824482087427757</c:v>
                </c:pt>
                <c:pt idx="2">
                  <c:v>30.805251745976566</c:v>
                </c:pt>
                <c:pt idx="3">
                  <c:v>27.582134137174908</c:v>
                </c:pt>
                <c:pt idx="4">
                  <c:v>28.530819288402977</c:v>
                </c:pt>
                <c:pt idx="5">
                  <c:v>25.162747984174967</c:v>
                </c:pt>
                <c:pt idx="6">
                  <c:v>25.321805179955351</c:v>
                </c:pt>
                <c:pt idx="7">
                  <c:v>48.106369446314261</c:v>
                </c:pt>
                <c:pt idx="8">
                  <c:v>62.973825184245982</c:v>
                </c:pt>
                <c:pt idx="9">
                  <c:v>84.299417855173786</c:v>
                </c:pt>
                <c:pt idx="10">
                  <c:v>47.969365851693489</c:v>
                </c:pt>
              </c:numCache>
            </c:numRef>
          </c:val>
          <c:extLst>
            <c:ext xmlns:c16="http://schemas.microsoft.com/office/drawing/2014/chart" uri="{C3380CC4-5D6E-409C-BE32-E72D297353CC}">
              <c16:uniqueId val="{00000002-61C0-F746-AD9F-DCEC7C9735B2}"/>
            </c:ext>
          </c:extLst>
        </c:ser>
        <c:dLbls>
          <c:showLegendKey val="0"/>
          <c:showVal val="0"/>
          <c:showCatName val="0"/>
          <c:showSerName val="0"/>
          <c:showPercent val="0"/>
          <c:showBubbleSize val="0"/>
        </c:dLbls>
        <c:gapWidth val="219"/>
        <c:overlap val="-27"/>
        <c:axId val="519651632"/>
        <c:axId val="519843952"/>
      </c:barChart>
      <c:catAx>
        <c:axId val="51965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843952"/>
        <c:crosses val="autoZero"/>
        <c:auto val="1"/>
        <c:lblAlgn val="ctr"/>
        <c:lblOffset val="100"/>
        <c:noMultiLvlLbl val="0"/>
      </c:catAx>
      <c:valAx>
        <c:axId val="51984395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65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355600</xdr:colOff>
      <xdr:row>15</xdr:row>
      <xdr:rowOff>38100</xdr:rowOff>
    </xdr:from>
    <xdr:to>
      <xdr:col>10</xdr:col>
      <xdr:colOff>584200</xdr:colOff>
      <xdr:row>29</xdr:row>
      <xdr:rowOff>190500</xdr:rowOff>
    </xdr:to>
    <xdr:graphicFrame macro="">
      <xdr:nvGraphicFramePr>
        <xdr:cNvPr id="2" name="Chart 1">
          <a:extLst>
            <a:ext uri="{FF2B5EF4-FFF2-40B4-BE49-F238E27FC236}">
              <a16:creationId xmlns:a16="http://schemas.microsoft.com/office/drawing/2014/main" id="{FFED6157-6768-DE61-A454-E28C052AA4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539750</xdr:colOff>
      <xdr:row>1</xdr:row>
      <xdr:rowOff>0</xdr:rowOff>
    </xdr:from>
    <xdr:to>
      <xdr:col>18</xdr:col>
      <xdr:colOff>158750</xdr:colOff>
      <xdr:row>14</xdr:row>
      <xdr:rowOff>88900</xdr:rowOff>
    </xdr:to>
    <xdr:graphicFrame macro="">
      <xdr:nvGraphicFramePr>
        <xdr:cNvPr id="3" name="Chart 2">
          <a:extLst>
            <a:ext uri="{FF2B5EF4-FFF2-40B4-BE49-F238E27FC236}">
              <a16:creationId xmlns:a16="http://schemas.microsoft.com/office/drawing/2014/main" id="{E2DDB465-2D03-1462-FD18-0DF5204A5C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596900</xdr:colOff>
      <xdr:row>20</xdr:row>
      <xdr:rowOff>63500</xdr:rowOff>
    </xdr:from>
    <xdr:to>
      <xdr:col>17</xdr:col>
      <xdr:colOff>558800</xdr:colOff>
      <xdr:row>34</xdr:row>
      <xdr:rowOff>12700</xdr:rowOff>
    </xdr:to>
    <xdr:graphicFrame macro="">
      <xdr:nvGraphicFramePr>
        <xdr:cNvPr id="6" name="Chart 5">
          <a:extLst>
            <a:ext uri="{FF2B5EF4-FFF2-40B4-BE49-F238E27FC236}">
              <a16:creationId xmlns:a16="http://schemas.microsoft.com/office/drawing/2014/main" id="{47482F96-5091-6111-AC39-C0FD1CF2AE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774700</xdr:colOff>
      <xdr:row>22</xdr:row>
      <xdr:rowOff>114300</xdr:rowOff>
    </xdr:from>
    <xdr:to>
      <xdr:col>12</xdr:col>
      <xdr:colOff>736600</xdr:colOff>
      <xdr:row>36</xdr:row>
      <xdr:rowOff>63500</xdr:rowOff>
    </xdr:to>
    <xdr:graphicFrame macro="">
      <xdr:nvGraphicFramePr>
        <xdr:cNvPr id="10" name="Chart 9">
          <a:extLst>
            <a:ext uri="{FF2B5EF4-FFF2-40B4-BE49-F238E27FC236}">
              <a16:creationId xmlns:a16="http://schemas.microsoft.com/office/drawing/2014/main" id="{A48DF67E-9436-2048-90B3-730A59477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381000</xdr:colOff>
      <xdr:row>22</xdr:row>
      <xdr:rowOff>25400</xdr:rowOff>
    </xdr:from>
    <xdr:to>
      <xdr:col>7</xdr:col>
      <xdr:colOff>0</xdr:colOff>
      <xdr:row>35</xdr:row>
      <xdr:rowOff>127000</xdr:rowOff>
    </xdr:to>
    <xdr:graphicFrame macro="">
      <xdr:nvGraphicFramePr>
        <xdr:cNvPr id="12" name="Chart 11">
          <a:extLst>
            <a:ext uri="{FF2B5EF4-FFF2-40B4-BE49-F238E27FC236}">
              <a16:creationId xmlns:a16="http://schemas.microsoft.com/office/drawing/2014/main" id="{34C7C899-520E-C1FD-9DF4-CA3104067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0C2E-7DE5-1445-AAF6-A893B7AA4341}">
  <dimension ref="A1:U125"/>
  <sheetViews>
    <sheetView workbookViewId="0">
      <pane xSplit="2" ySplit="2" topLeftCell="D88" activePane="bottomRight" state="frozen"/>
      <selection pane="topRight" activeCell="C1" sqref="C1"/>
      <selection pane="bottomLeft" activeCell="A3" sqref="A3"/>
      <selection pane="bottomRight" activeCell="M94" sqref="M94"/>
    </sheetView>
  </sheetViews>
  <sheetFormatPr baseColWidth="10" defaultRowHeight="16"/>
  <cols>
    <col min="1" max="1" width="21.6640625" style="20" customWidth="1"/>
    <col min="2" max="2" width="40.5" customWidth="1"/>
    <col min="3" max="3" width="14.5" customWidth="1"/>
    <col min="4" max="4" width="13.1640625" bestFit="1" customWidth="1"/>
    <col min="5" max="5" width="12.6640625" customWidth="1"/>
    <col min="6" max="11" width="13.1640625" bestFit="1" customWidth="1"/>
    <col min="12" max="13" width="13" bestFit="1" customWidth="1"/>
    <col min="14" max="16" width="11.1640625" customWidth="1"/>
    <col min="18" max="18" width="11.5" bestFit="1" customWidth="1"/>
    <col min="20" max="21" width="15.6640625" bestFit="1" customWidth="1"/>
  </cols>
  <sheetData>
    <row r="1" spans="1:21">
      <c r="B1" t="s">
        <v>6</v>
      </c>
      <c r="C1" t="s">
        <v>0</v>
      </c>
      <c r="D1" t="s">
        <v>151</v>
      </c>
      <c r="N1" t="s">
        <v>310</v>
      </c>
    </row>
    <row r="2" spans="1:21" s="2" customFormat="1" ht="31" customHeight="1" thickBot="1">
      <c r="A2" s="21"/>
      <c r="B2" s="2" t="s">
        <v>7</v>
      </c>
      <c r="C2" s="2">
        <v>2010</v>
      </c>
      <c r="D2" s="2">
        <v>2011</v>
      </c>
      <c r="E2" s="2">
        <v>2012</v>
      </c>
      <c r="F2" s="2">
        <v>2013</v>
      </c>
      <c r="G2" s="2">
        <v>2014</v>
      </c>
      <c r="H2" s="2">
        <v>2015</v>
      </c>
      <c r="I2" s="2">
        <v>2016</v>
      </c>
      <c r="J2" s="2">
        <v>2017</v>
      </c>
      <c r="K2" s="2">
        <v>2018</v>
      </c>
      <c r="L2" s="2">
        <v>2019</v>
      </c>
      <c r="M2" s="2">
        <v>2020</v>
      </c>
      <c r="N2" s="2">
        <v>2021</v>
      </c>
      <c r="O2" s="2">
        <v>2022</v>
      </c>
      <c r="P2" s="91" t="s">
        <v>336</v>
      </c>
      <c r="Q2" s="31" t="s">
        <v>51</v>
      </c>
    </row>
    <row r="3" spans="1:21" ht="18" thickTop="1">
      <c r="A3" s="23" t="s">
        <v>332</v>
      </c>
      <c r="B3" t="s">
        <v>1</v>
      </c>
      <c r="C3" s="4">
        <v>396384</v>
      </c>
      <c r="D3" s="4">
        <v>280249</v>
      </c>
      <c r="E3" s="4">
        <v>242902</v>
      </c>
      <c r="F3" s="4">
        <v>217072</v>
      </c>
      <c r="G3" s="4">
        <v>207191</v>
      </c>
      <c r="H3" s="4">
        <v>206198</v>
      </c>
      <c r="I3" s="4">
        <v>134866</v>
      </c>
      <c r="J3" s="4">
        <v>0</v>
      </c>
      <c r="K3" s="4">
        <v>0</v>
      </c>
      <c r="L3" s="4">
        <v>0</v>
      </c>
      <c r="M3" s="4">
        <v>0</v>
      </c>
      <c r="N3" s="4"/>
      <c r="O3" s="4"/>
      <c r="P3" s="4"/>
      <c r="Q3" s="11"/>
      <c r="R3" s="4"/>
    </row>
    <row r="4" spans="1:21">
      <c r="B4" t="s">
        <v>9</v>
      </c>
      <c r="C4" s="4">
        <v>427083</v>
      </c>
      <c r="D4" s="4">
        <v>456229</v>
      </c>
      <c r="E4" s="4">
        <v>469273</v>
      </c>
      <c r="F4" s="4">
        <v>395253</v>
      </c>
      <c r="G4" s="4">
        <v>355594</v>
      </c>
      <c r="H4" s="4">
        <v>366123</v>
      </c>
      <c r="I4" s="4">
        <v>518324</v>
      </c>
      <c r="J4" s="4">
        <v>569126</v>
      </c>
      <c r="K4" s="4">
        <v>611798</v>
      </c>
      <c r="L4" s="4">
        <v>639474</v>
      </c>
      <c r="M4" s="4">
        <v>615596</v>
      </c>
      <c r="N4" s="4"/>
      <c r="O4" s="4"/>
      <c r="P4" s="4"/>
      <c r="Q4" s="11" t="s">
        <v>329</v>
      </c>
      <c r="R4" s="4"/>
    </row>
    <row r="5" spans="1:21">
      <c r="B5" t="s">
        <v>10</v>
      </c>
      <c r="C5" s="4">
        <v>140734</v>
      </c>
      <c r="D5" s="4">
        <v>196498</v>
      </c>
      <c r="E5" s="4">
        <v>185317</v>
      </c>
      <c r="F5" s="4">
        <v>159303</v>
      </c>
      <c r="G5" s="4">
        <v>132721</v>
      </c>
      <c r="H5" s="4">
        <v>124044</v>
      </c>
      <c r="I5" s="4">
        <v>118168</v>
      </c>
      <c r="J5" s="4">
        <v>126513</v>
      </c>
      <c r="K5" s="4">
        <v>86663</v>
      </c>
      <c r="L5" s="4">
        <v>61178</v>
      </c>
      <c r="M5" s="4">
        <v>44138</v>
      </c>
      <c r="N5" s="4"/>
      <c r="O5" s="4"/>
      <c r="P5" s="4"/>
      <c r="Q5" s="11"/>
      <c r="R5" s="4"/>
      <c r="T5" s="49">
        <f>(M4+M5)/M11</f>
        <v>0.55561834515621278</v>
      </c>
      <c r="U5" s="1">
        <v>2020</v>
      </c>
    </row>
    <row r="6" spans="1:21">
      <c r="B6" t="s">
        <v>54</v>
      </c>
      <c r="C6" s="4">
        <v>0</v>
      </c>
      <c r="D6" s="4">
        <v>0</v>
      </c>
      <c r="E6" s="4">
        <v>48347</v>
      </c>
      <c r="F6" s="4">
        <v>0</v>
      </c>
      <c r="G6" s="4">
        <v>599</v>
      </c>
      <c r="H6" s="4">
        <v>0</v>
      </c>
      <c r="I6" s="4">
        <v>0</v>
      </c>
      <c r="J6" s="4">
        <v>0</v>
      </c>
      <c r="K6" s="4">
        <v>0</v>
      </c>
      <c r="L6" s="4"/>
      <c r="M6" s="4"/>
      <c r="N6" s="4"/>
      <c r="O6" s="4"/>
      <c r="P6" s="4"/>
      <c r="Q6" s="11"/>
      <c r="R6" s="4"/>
    </row>
    <row r="7" spans="1:21">
      <c r="B7" t="s">
        <v>457</v>
      </c>
      <c r="C7" s="4">
        <v>165331</v>
      </c>
      <c r="D7" s="4">
        <v>169961</v>
      </c>
      <c r="E7" s="4">
        <v>173374</v>
      </c>
      <c r="F7" s="4">
        <v>233039</v>
      </c>
      <c r="G7" s="4">
        <v>260951</v>
      </c>
      <c r="H7" s="4">
        <v>266338</v>
      </c>
      <c r="I7" s="4">
        <v>232908</v>
      </c>
      <c r="J7" s="4">
        <v>245008</v>
      </c>
      <c r="K7" s="4">
        <v>277909</v>
      </c>
      <c r="L7" s="4">
        <v>286636</v>
      </c>
      <c r="M7" s="4">
        <v>247951</v>
      </c>
      <c r="N7" s="4"/>
      <c r="O7" s="4"/>
      <c r="P7" s="4"/>
      <c r="Q7" s="11"/>
      <c r="R7" s="4"/>
      <c r="T7" s="6"/>
    </row>
    <row r="8" spans="1:21">
      <c r="B8" t="s">
        <v>3</v>
      </c>
      <c r="C8" s="4">
        <v>284468</v>
      </c>
      <c r="D8" s="4">
        <v>281139</v>
      </c>
      <c r="E8" s="4">
        <v>281260</v>
      </c>
      <c r="F8" s="4">
        <v>280138</v>
      </c>
      <c r="G8" s="4">
        <v>275260</v>
      </c>
      <c r="H8" s="4">
        <v>256402</v>
      </c>
      <c r="I8" s="4">
        <v>254256</v>
      </c>
      <c r="J8" s="4">
        <v>259748</v>
      </c>
      <c r="K8" s="4">
        <v>253126</v>
      </c>
      <c r="L8" s="4">
        <v>253148</v>
      </c>
      <c r="M8" s="4">
        <v>244362</v>
      </c>
      <c r="N8" s="4">
        <v>241530</v>
      </c>
      <c r="O8" s="4"/>
      <c r="P8" s="4"/>
      <c r="Q8" s="11" t="s">
        <v>330</v>
      </c>
      <c r="R8" s="49">
        <f>K8/K11</f>
        <v>0.19649969918683408</v>
      </c>
      <c r="S8" s="5" t="s">
        <v>287</v>
      </c>
      <c r="T8" s="49">
        <f>M8/M11</f>
        <v>0.20579810963064274</v>
      </c>
      <c r="U8" s="1">
        <v>2020</v>
      </c>
    </row>
    <row r="9" spans="1:21">
      <c r="B9" t="s">
        <v>4</v>
      </c>
      <c r="C9" s="4">
        <v>0</v>
      </c>
      <c r="D9" s="4">
        <v>0</v>
      </c>
      <c r="E9" s="4">
        <v>0</v>
      </c>
      <c r="F9" s="4">
        <v>0</v>
      </c>
      <c r="G9" s="4">
        <v>0</v>
      </c>
      <c r="H9" s="4">
        <v>0</v>
      </c>
      <c r="I9" s="4">
        <v>0</v>
      </c>
      <c r="J9" s="4">
        <v>85779</v>
      </c>
      <c r="K9" s="4">
        <v>58679</v>
      </c>
      <c r="L9" s="4">
        <v>55689</v>
      </c>
      <c r="M9" s="4">
        <v>35340</v>
      </c>
      <c r="N9" s="4"/>
      <c r="O9" s="4"/>
      <c r="P9" s="4"/>
      <c r="Q9" s="11"/>
      <c r="R9" s="4"/>
      <c r="T9" s="6">
        <f>M9/M11</f>
        <v>2.9762832168450555E-2</v>
      </c>
    </row>
    <row r="10" spans="1:21">
      <c r="B10" t="s">
        <v>5</v>
      </c>
      <c r="C10" s="4">
        <v>0</v>
      </c>
      <c r="D10" s="4">
        <v>0</v>
      </c>
      <c r="E10" s="4">
        <v>50000</v>
      </c>
      <c r="F10" s="4">
        <v>60000</v>
      </c>
      <c r="G10" s="4">
        <v>100000</v>
      </c>
      <c r="H10" s="4">
        <v>30000</v>
      </c>
      <c r="I10" s="10">
        <v>0</v>
      </c>
      <c r="J10" s="10">
        <v>0</v>
      </c>
      <c r="K10" s="10">
        <v>0</v>
      </c>
      <c r="L10" s="10">
        <v>0</v>
      </c>
      <c r="M10" s="10">
        <v>0</v>
      </c>
      <c r="Q10" s="10" t="s">
        <v>286</v>
      </c>
      <c r="R10" s="4"/>
    </row>
    <row r="11" spans="1:21" s="1" customFormat="1">
      <c r="A11" s="22"/>
      <c r="B11" s="1" t="s">
        <v>8</v>
      </c>
      <c r="C11" s="5">
        <f>SUM(C3:C10)</f>
        <v>1414000</v>
      </c>
      <c r="D11" s="5">
        <f t="shared" ref="D11:K11" si="0">SUM(D3:D10)</f>
        <v>1384076</v>
      </c>
      <c r="E11" s="5">
        <f t="shared" si="0"/>
        <v>1450473</v>
      </c>
      <c r="F11" s="5">
        <f t="shared" si="0"/>
        <v>1344805</v>
      </c>
      <c r="G11" s="5">
        <f t="shared" si="0"/>
        <v>1332316</v>
      </c>
      <c r="H11" s="5">
        <f t="shared" si="0"/>
        <v>1249105</v>
      </c>
      <c r="I11" s="5">
        <f t="shared" si="0"/>
        <v>1258522</v>
      </c>
      <c r="J11" s="5">
        <f t="shared" si="0"/>
        <v>1286174</v>
      </c>
      <c r="K11" s="5">
        <f t="shared" si="0"/>
        <v>1288175</v>
      </c>
      <c r="L11" s="5">
        <f t="shared" ref="L11:M11" si="1">SUM(L3:L10)</f>
        <v>1296125</v>
      </c>
      <c r="M11" s="5">
        <f t="shared" si="1"/>
        <v>1187387</v>
      </c>
      <c r="N11" s="5"/>
      <c r="O11" s="5"/>
      <c r="P11" s="5">
        <f>C11-M11</f>
        <v>226613</v>
      </c>
      <c r="Q11" s="1">
        <f>P11/C11</f>
        <v>0.16026379066478078</v>
      </c>
    </row>
    <row r="12" spans="1:21">
      <c r="B12" t="s">
        <v>11</v>
      </c>
      <c r="C12" s="4">
        <f>C3+C4+C8+C5</f>
        <v>1248669</v>
      </c>
      <c r="D12" s="4">
        <f t="shared" ref="D12:K12" si="2">D3+D4+D8+D5</f>
        <v>1214115</v>
      </c>
      <c r="E12" s="4">
        <f t="shared" si="2"/>
        <v>1178752</v>
      </c>
      <c r="F12" s="4">
        <f t="shared" si="2"/>
        <v>1051766</v>
      </c>
      <c r="G12" s="4">
        <f t="shared" si="2"/>
        <v>970766</v>
      </c>
      <c r="H12" s="4">
        <f t="shared" si="2"/>
        <v>952767</v>
      </c>
      <c r="I12" s="4">
        <f t="shared" si="2"/>
        <v>1025614</v>
      </c>
      <c r="J12" s="4">
        <f t="shared" si="2"/>
        <v>955387</v>
      </c>
      <c r="K12" s="4">
        <f t="shared" si="2"/>
        <v>951587</v>
      </c>
      <c r="L12" s="4">
        <f t="shared" ref="L12:M12" si="3">L3+L4+L8+L5</f>
        <v>953800</v>
      </c>
      <c r="M12" s="4">
        <f t="shared" si="3"/>
        <v>904096</v>
      </c>
      <c r="N12" s="4"/>
      <c r="O12" s="4"/>
      <c r="P12" s="4"/>
      <c r="Q12" s="11"/>
      <c r="R12" s="4"/>
    </row>
    <row r="13" spans="1:21">
      <c r="B13" t="s">
        <v>317</v>
      </c>
      <c r="C13" s="4">
        <f t="shared" ref="C13:M13" si="4">C3+C4+C5+C6+C7+C9+C10</f>
        <v>1129532</v>
      </c>
      <c r="D13" s="4">
        <f t="shared" si="4"/>
        <v>1102937</v>
      </c>
      <c r="E13" s="4">
        <f t="shared" si="4"/>
        <v>1169213</v>
      </c>
      <c r="F13" s="4">
        <f t="shared" si="4"/>
        <v>1064667</v>
      </c>
      <c r="G13" s="4">
        <f t="shared" si="4"/>
        <v>1057056</v>
      </c>
      <c r="H13" s="4">
        <f t="shared" si="4"/>
        <v>992703</v>
      </c>
      <c r="I13" s="4">
        <f t="shared" si="4"/>
        <v>1004266</v>
      </c>
      <c r="J13" s="4">
        <f t="shared" si="4"/>
        <v>1026426</v>
      </c>
      <c r="K13" s="4">
        <f t="shared" si="4"/>
        <v>1035049</v>
      </c>
      <c r="L13" s="4">
        <f t="shared" si="4"/>
        <v>1042977</v>
      </c>
      <c r="M13" s="4">
        <f t="shared" si="4"/>
        <v>943025</v>
      </c>
      <c r="N13" s="4"/>
      <c r="O13" s="4"/>
      <c r="P13" s="4"/>
      <c r="Q13" s="11"/>
      <c r="R13" s="4"/>
    </row>
    <row r="14" spans="1:21">
      <c r="C14" s="4"/>
      <c r="D14" s="4"/>
      <c r="E14" s="4"/>
      <c r="F14" s="4"/>
      <c r="G14" s="4"/>
      <c r="H14" s="4"/>
      <c r="I14" s="4"/>
      <c r="J14" s="4"/>
      <c r="K14" s="4"/>
      <c r="L14" s="4"/>
      <c r="M14" s="4"/>
      <c r="N14" s="4"/>
      <c r="O14" s="4"/>
      <c r="P14" s="4"/>
      <c r="Q14" s="11"/>
      <c r="R14" s="4"/>
    </row>
    <row r="15" spans="1:21">
      <c r="B15" s="8" t="s">
        <v>3</v>
      </c>
      <c r="C15" s="4"/>
      <c r="D15" s="4"/>
      <c r="E15" s="4"/>
      <c r="F15" s="4"/>
      <c r="G15" s="4"/>
      <c r="H15" s="4"/>
      <c r="I15" s="4"/>
      <c r="J15" s="4"/>
      <c r="K15" s="4"/>
      <c r="L15" s="4"/>
      <c r="M15" s="4"/>
      <c r="N15" s="4"/>
      <c r="O15" s="4"/>
      <c r="P15" s="4"/>
      <c r="Q15" s="11"/>
      <c r="R15" s="4"/>
    </row>
    <row r="16" spans="1:21">
      <c r="B16" t="s">
        <v>12</v>
      </c>
      <c r="C16" s="4">
        <v>46410</v>
      </c>
      <c r="D16" s="4">
        <v>46027</v>
      </c>
      <c r="E16" s="4">
        <v>44925</v>
      </c>
      <c r="F16" s="4">
        <v>32538</v>
      </c>
      <c r="G16" s="4">
        <v>44861</v>
      </c>
      <c r="H16" s="4">
        <v>43413</v>
      </c>
      <c r="I16" s="4">
        <v>43068</v>
      </c>
      <c r="J16" s="89">
        <f>35013+8000</f>
        <v>43013</v>
      </c>
      <c r="K16" s="89">
        <v>42000</v>
      </c>
      <c r="L16" s="45">
        <f>26000+16755</f>
        <v>42755</v>
      </c>
      <c r="M16" s="4">
        <v>41478</v>
      </c>
      <c r="N16" s="4">
        <v>38698</v>
      </c>
      <c r="Q16" s="45" t="s">
        <v>288</v>
      </c>
    </row>
    <row r="17" spans="1:19">
      <c r="B17" t="s">
        <v>14</v>
      </c>
      <c r="C17" s="6">
        <f t="shared" ref="C17:M17" si="5">C16/C8</f>
        <v>0.16314664566840559</v>
      </c>
      <c r="D17" s="6">
        <f t="shared" si="5"/>
        <v>0.16371616887020299</v>
      </c>
      <c r="E17" s="6">
        <f t="shared" si="5"/>
        <v>0.15972765412785322</v>
      </c>
      <c r="F17" s="6">
        <f t="shared" si="5"/>
        <v>0.11614989755049297</v>
      </c>
      <c r="G17" s="6">
        <f t="shared" si="5"/>
        <v>0.16297682191382692</v>
      </c>
      <c r="H17" s="6">
        <f t="shared" si="5"/>
        <v>0.16931615198009375</v>
      </c>
      <c r="I17" s="6">
        <f t="shared" si="5"/>
        <v>0.16938833301868983</v>
      </c>
      <c r="J17" s="6">
        <f t="shared" si="5"/>
        <v>0.16559511526556508</v>
      </c>
      <c r="K17" s="6">
        <f t="shared" si="5"/>
        <v>0.16592527041868477</v>
      </c>
      <c r="L17" s="6">
        <f t="shared" si="5"/>
        <v>0.16889329562153366</v>
      </c>
      <c r="M17" s="6">
        <f t="shared" si="5"/>
        <v>0.16973997593733886</v>
      </c>
    </row>
    <row r="18" spans="1:19">
      <c r="B18" t="s">
        <v>13</v>
      </c>
      <c r="C18" s="4">
        <v>12265</v>
      </c>
      <c r="D18" s="4">
        <v>11964</v>
      </c>
      <c r="E18" s="4">
        <v>11841</v>
      </c>
      <c r="F18" s="4">
        <v>11710</v>
      </c>
      <c r="G18" s="4">
        <v>10270</v>
      </c>
      <c r="H18" s="4">
        <v>9657</v>
      </c>
      <c r="I18" s="4">
        <v>10268</v>
      </c>
      <c r="J18" s="4">
        <v>10450</v>
      </c>
      <c r="K18" s="4">
        <v>10479</v>
      </c>
      <c r="L18" s="4">
        <v>9888</v>
      </c>
      <c r="M18" s="4">
        <v>8658</v>
      </c>
      <c r="N18" s="4">
        <v>10699</v>
      </c>
    </row>
    <row r="19" spans="1:19">
      <c r="B19" t="s">
        <v>15</v>
      </c>
      <c r="C19" s="6">
        <f t="shared" ref="C19:M19" si="6">C18/C8</f>
        <v>4.3115570116849695E-2</v>
      </c>
      <c r="D19" s="6">
        <f t="shared" si="6"/>
        <v>4.255546188895884E-2</v>
      </c>
      <c r="E19" s="6">
        <f t="shared" si="6"/>
        <v>4.2099836450259547E-2</v>
      </c>
      <c r="F19" s="6">
        <f t="shared" si="6"/>
        <v>4.1800826735394696E-2</v>
      </c>
      <c r="G19" s="6">
        <f t="shared" si="6"/>
        <v>3.7310179466686043E-2</v>
      </c>
      <c r="H19" s="6">
        <f t="shared" si="6"/>
        <v>3.7663512765111033E-2</v>
      </c>
      <c r="I19" s="6">
        <f t="shared" si="6"/>
        <v>4.0384494367881191E-2</v>
      </c>
      <c r="J19" s="6">
        <f t="shared" si="6"/>
        <v>4.0231301107227002E-2</v>
      </c>
      <c r="K19" s="6">
        <f t="shared" si="6"/>
        <v>4.1398354969461849E-2</v>
      </c>
      <c r="L19" s="6">
        <f t="shared" si="6"/>
        <v>3.906015453410653E-2</v>
      </c>
      <c r="M19" s="6">
        <f t="shared" si="6"/>
        <v>3.543104083286272E-2</v>
      </c>
    </row>
    <row r="20" spans="1:19" ht="17" customHeight="1">
      <c r="B20" t="s">
        <v>16</v>
      </c>
      <c r="C20" s="7">
        <f>C17+C19</f>
        <v>0.20626221578525528</v>
      </c>
      <c r="D20" s="7">
        <f t="shared" ref="D20:K20" si="7">D17+D19</f>
        <v>0.20627163075916183</v>
      </c>
      <c r="E20" s="7">
        <f t="shared" si="7"/>
        <v>0.20182749057811278</v>
      </c>
      <c r="F20" s="7">
        <f t="shared" si="7"/>
        <v>0.15795072428588766</v>
      </c>
      <c r="G20" s="7">
        <f t="shared" si="7"/>
        <v>0.20028700138051297</v>
      </c>
      <c r="H20" s="7">
        <f t="shared" si="7"/>
        <v>0.20697966474520479</v>
      </c>
      <c r="I20" s="7">
        <f t="shared" si="7"/>
        <v>0.20977282738657102</v>
      </c>
      <c r="J20" s="7">
        <f t="shared" si="7"/>
        <v>0.20582641637279209</v>
      </c>
      <c r="K20" s="72">
        <f t="shared" si="7"/>
        <v>0.20732362538814661</v>
      </c>
      <c r="L20" s="72">
        <f t="shared" ref="L20:M20" si="8">L17+L19</f>
        <v>0.20795345015564018</v>
      </c>
      <c r="M20" s="72">
        <f t="shared" si="8"/>
        <v>0.20517101677020158</v>
      </c>
      <c r="N20" s="4"/>
      <c r="O20" s="4"/>
      <c r="P20" s="4"/>
      <c r="Q20" s="11"/>
      <c r="R20" s="4"/>
    </row>
    <row r="21" spans="1:19" ht="17" customHeight="1">
      <c r="C21" s="7"/>
      <c r="D21" s="7"/>
      <c r="E21" s="7"/>
      <c r="F21" s="7"/>
      <c r="G21" s="7"/>
      <c r="H21" s="7"/>
      <c r="I21" s="7"/>
      <c r="J21" s="7"/>
      <c r="K21" s="72"/>
      <c r="L21" s="73"/>
      <c r="M21" s="73"/>
      <c r="N21" s="4"/>
      <c r="O21" s="4"/>
      <c r="P21" s="4"/>
      <c r="Q21" s="11"/>
      <c r="R21" s="4"/>
    </row>
    <row r="22" spans="1:19" ht="29" customHeight="1">
      <c r="B22" s="92" t="s">
        <v>333</v>
      </c>
      <c r="C22" s="4">
        <v>1676117</v>
      </c>
      <c r="D22" s="4">
        <v>1817446</v>
      </c>
      <c r="E22" s="4">
        <v>1871339</v>
      </c>
      <c r="F22" s="4">
        <v>2020114</v>
      </c>
      <c r="G22" s="4">
        <v>2040280</v>
      </c>
      <c r="H22" s="4">
        <v>1982137</v>
      </c>
      <c r="I22" s="4">
        <v>2039569</v>
      </c>
      <c r="J22" s="4">
        <v>2234055</v>
      </c>
      <c r="K22" s="4">
        <v>2317050</v>
      </c>
      <c r="L22" s="4">
        <v>2191421</v>
      </c>
      <c r="M22" s="4">
        <v>2261038</v>
      </c>
      <c r="N22" s="4"/>
      <c r="O22" s="4"/>
      <c r="P22" s="4"/>
      <c r="Q22" t="s">
        <v>289</v>
      </c>
      <c r="R22" s="4" t="s">
        <v>285</v>
      </c>
      <c r="S22" s="90"/>
    </row>
    <row r="23" spans="1:19" ht="17" customHeight="1">
      <c r="B23" t="s">
        <v>334</v>
      </c>
      <c r="C23" s="7">
        <f>C22/C25</f>
        <v>0.54241214814843586</v>
      </c>
      <c r="D23" s="7">
        <f t="shared" ref="D23:M23" si="9">D22/D25</f>
        <v>0.56768187130995817</v>
      </c>
      <c r="E23" s="7">
        <f t="shared" si="9"/>
        <v>0.56334885899623455</v>
      </c>
      <c r="F23" s="7">
        <f t="shared" si="9"/>
        <v>0.60034550608796233</v>
      </c>
      <c r="G23" s="7">
        <f t="shared" si="9"/>
        <v>0.60495831697600311</v>
      </c>
      <c r="H23" s="7">
        <f t="shared" si="9"/>
        <v>0.61342883015261629</v>
      </c>
      <c r="I23" s="7">
        <f t="shared" si="9"/>
        <v>0.61840895233030257</v>
      </c>
      <c r="J23" s="7">
        <f t="shared" si="9"/>
        <v>0.63463342867750938</v>
      </c>
      <c r="K23" s="7">
        <f t="shared" si="9"/>
        <v>0.64269220367660829</v>
      </c>
      <c r="L23" s="7">
        <f t="shared" si="9"/>
        <v>0.62835615644926257</v>
      </c>
      <c r="M23" s="7">
        <f t="shared" si="9"/>
        <v>0.65567266215736164</v>
      </c>
      <c r="N23" s="4"/>
      <c r="O23" s="4"/>
      <c r="P23" s="4"/>
      <c r="R23" s="4"/>
      <c r="S23" s="90"/>
    </row>
    <row r="24" spans="1:19" ht="17" customHeight="1">
      <c r="C24" s="4"/>
      <c r="D24" s="4"/>
      <c r="E24" s="4"/>
      <c r="F24" s="4"/>
      <c r="G24" s="4"/>
      <c r="H24" s="4"/>
      <c r="I24" s="4"/>
      <c r="J24" s="4"/>
      <c r="K24" s="4"/>
      <c r="L24" s="4"/>
      <c r="M24" s="4"/>
      <c r="N24" s="4"/>
      <c r="O24" s="4"/>
      <c r="P24" s="4"/>
      <c r="Q24" t="s">
        <v>444</v>
      </c>
      <c r="R24" s="4"/>
      <c r="S24" s="90"/>
    </row>
    <row r="25" spans="1:19" ht="17" customHeight="1">
      <c r="B25" s="1" t="s">
        <v>290</v>
      </c>
      <c r="C25" s="4">
        <f t="shared" ref="C25:M25" si="10">C22+C11</f>
        <v>3090117</v>
      </c>
      <c r="D25" s="4">
        <f t="shared" si="10"/>
        <v>3201522</v>
      </c>
      <c r="E25" s="4">
        <f t="shared" si="10"/>
        <v>3321812</v>
      </c>
      <c r="F25" s="4">
        <f t="shared" si="10"/>
        <v>3364919</v>
      </c>
      <c r="G25" s="4">
        <f t="shared" si="10"/>
        <v>3372596</v>
      </c>
      <c r="H25" s="4">
        <f t="shared" si="10"/>
        <v>3231242</v>
      </c>
      <c r="I25" s="4">
        <f t="shared" si="10"/>
        <v>3298091</v>
      </c>
      <c r="J25" s="4">
        <f t="shared" si="10"/>
        <v>3520229</v>
      </c>
      <c r="K25" s="4">
        <f t="shared" si="10"/>
        <v>3605225</v>
      </c>
      <c r="L25" s="4">
        <f t="shared" si="10"/>
        <v>3487546</v>
      </c>
      <c r="M25" s="4">
        <f t="shared" si="10"/>
        <v>3448425</v>
      </c>
      <c r="N25" s="4"/>
      <c r="O25" s="4"/>
      <c r="P25" s="4"/>
      <c r="Q25" s="30">
        <f>M25-C25</f>
        <v>358308</v>
      </c>
      <c r="R25" s="6">
        <f>M25/C25</f>
        <v>1.1159528911041232</v>
      </c>
      <c r="S25" s="90"/>
    </row>
    <row r="26" spans="1:19" ht="17" customHeight="1">
      <c r="B26" s="1"/>
      <c r="C26" s="4"/>
      <c r="D26" s="4"/>
      <c r="E26" s="4"/>
      <c r="F26" s="4"/>
      <c r="G26" s="4"/>
      <c r="H26" s="4"/>
      <c r="I26" s="4"/>
      <c r="J26" s="4"/>
      <c r="K26" s="4"/>
      <c r="L26" s="4"/>
      <c r="M26" s="4"/>
      <c r="N26" s="4"/>
      <c r="O26" s="4"/>
      <c r="P26" s="4"/>
      <c r="R26" s="4"/>
      <c r="S26" s="90"/>
    </row>
    <row r="27" spans="1:19" ht="17" customHeight="1">
      <c r="B27" s="1" t="s">
        <v>291</v>
      </c>
      <c r="C27" s="4"/>
      <c r="D27" s="4"/>
      <c r="E27" s="4"/>
      <c r="F27" s="4"/>
      <c r="G27" s="4"/>
      <c r="H27" s="4"/>
      <c r="I27" s="4"/>
      <c r="J27" s="4"/>
      <c r="K27" s="4">
        <v>61600</v>
      </c>
      <c r="L27" s="4"/>
      <c r="M27" s="4"/>
      <c r="N27" s="4"/>
      <c r="O27" s="4"/>
      <c r="P27" s="4"/>
      <c r="R27" s="4"/>
      <c r="S27" s="90"/>
    </row>
    <row r="28" spans="1:19" ht="17" customHeight="1">
      <c r="C28" s="4"/>
      <c r="D28" s="4"/>
      <c r="E28" s="4"/>
      <c r="F28" s="4"/>
      <c r="G28" s="4"/>
      <c r="H28" s="4"/>
      <c r="I28" s="4"/>
      <c r="J28" s="4"/>
      <c r="K28" s="4"/>
      <c r="L28" s="4"/>
      <c r="M28" s="4"/>
      <c r="N28" s="4"/>
      <c r="O28" s="4"/>
      <c r="P28" s="4"/>
      <c r="R28" s="4"/>
      <c r="S28" s="90"/>
    </row>
    <row r="29" spans="1:19" ht="17" customHeight="1">
      <c r="N29" s="4"/>
      <c r="O29" s="4"/>
      <c r="P29" s="4"/>
      <c r="Q29" s="11"/>
      <c r="R29" s="4"/>
    </row>
    <row r="30" spans="1:19" ht="17">
      <c r="A30" s="23" t="s">
        <v>39</v>
      </c>
      <c r="B30" s="8"/>
    </row>
    <row r="31" spans="1:19">
      <c r="A31" s="127" t="s">
        <v>31</v>
      </c>
      <c r="B31" s="12" t="s">
        <v>17</v>
      </c>
      <c r="C31" s="13">
        <v>73751</v>
      </c>
      <c r="D31" s="13">
        <v>72951</v>
      </c>
      <c r="E31" s="13">
        <v>74526</v>
      </c>
      <c r="F31" s="13">
        <v>78017</v>
      </c>
      <c r="G31" s="13">
        <v>77524</v>
      </c>
      <c r="H31" s="13">
        <v>77500</v>
      </c>
      <c r="I31" s="13">
        <v>79160</v>
      </c>
      <c r="J31" s="13">
        <v>76309</v>
      </c>
      <c r="K31" s="13">
        <v>75679</v>
      </c>
      <c r="L31" s="12">
        <v>76165</v>
      </c>
      <c r="M31" s="12">
        <v>73965</v>
      </c>
      <c r="N31" s="12"/>
      <c r="O31" s="12"/>
      <c r="P31" s="12"/>
      <c r="Q31" s="12"/>
      <c r="R31" s="12"/>
    </row>
    <row r="32" spans="1:19">
      <c r="A32" s="127"/>
      <c r="B32" s="12" t="s">
        <v>18</v>
      </c>
      <c r="C32" s="13">
        <v>20103</v>
      </c>
      <c r="D32" s="13">
        <v>13375</v>
      </c>
      <c r="E32" s="13">
        <v>16306</v>
      </c>
      <c r="F32" s="13">
        <v>12544</v>
      </c>
      <c r="G32" s="13">
        <v>11317</v>
      </c>
      <c r="H32" s="13">
        <v>19729</v>
      </c>
      <c r="I32" s="13">
        <v>16088</v>
      </c>
      <c r="J32" s="13">
        <v>20633</v>
      </c>
      <c r="K32" s="13">
        <v>40125</v>
      </c>
      <c r="L32" s="12">
        <v>40240</v>
      </c>
      <c r="M32" s="12">
        <v>70259</v>
      </c>
      <c r="N32" s="12">
        <v>61150</v>
      </c>
      <c r="O32" s="12"/>
      <c r="P32" s="12"/>
      <c r="Q32" s="12"/>
      <c r="R32" s="12"/>
    </row>
    <row r="33" spans="1:20">
      <c r="A33" s="127"/>
      <c r="B33" s="14" t="s">
        <v>27</v>
      </c>
      <c r="C33" s="15">
        <f>C31+C32</f>
        <v>93854</v>
      </c>
      <c r="D33" s="15">
        <f t="shared" ref="D33:M33" si="11">D31+D32</f>
        <v>86326</v>
      </c>
      <c r="E33" s="15">
        <f t="shared" si="11"/>
        <v>90832</v>
      </c>
      <c r="F33" s="15">
        <f t="shared" si="11"/>
        <v>90561</v>
      </c>
      <c r="G33" s="15">
        <f t="shared" si="11"/>
        <v>88841</v>
      </c>
      <c r="H33" s="15">
        <f t="shared" si="11"/>
        <v>97229</v>
      </c>
      <c r="I33" s="15">
        <f t="shared" si="11"/>
        <v>95248</v>
      </c>
      <c r="J33" s="15">
        <f t="shared" si="11"/>
        <v>96942</v>
      </c>
      <c r="K33" s="15">
        <f t="shared" si="11"/>
        <v>115804</v>
      </c>
      <c r="L33" s="15">
        <f t="shared" si="11"/>
        <v>116405</v>
      </c>
      <c r="M33" s="15">
        <f t="shared" si="11"/>
        <v>144224</v>
      </c>
      <c r="N33" s="12"/>
      <c r="O33" s="12"/>
      <c r="P33" s="12"/>
      <c r="Q33" s="51">
        <f>M33/C33</f>
        <v>1.5366846378417542</v>
      </c>
      <c r="R33" s="12" t="s">
        <v>150</v>
      </c>
      <c r="S33" s="30">
        <f>M33-C33</f>
        <v>50370</v>
      </c>
      <c r="T33" s="74"/>
    </row>
    <row r="34" spans="1:20">
      <c r="C34" s="4"/>
      <c r="D34" s="5"/>
      <c r="E34" s="5"/>
      <c r="F34" s="5"/>
      <c r="G34" s="5"/>
      <c r="H34" s="5"/>
      <c r="I34" s="5"/>
      <c r="J34" s="5"/>
      <c r="K34" s="5"/>
    </row>
    <row r="35" spans="1:20">
      <c r="A35" s="128" t="s">
        <v>32</v>
      </c>
      <c r="B35" s="16" t="s">
        <v>19</v>
      </c>
      <c r="C35" s="17">
        <v>505198</v>
      </c>
      <c r="D35" s="17">
        <v>500881</v>
      </c>
      <c r="E35" s="17">
        <v>600292</v>
      </c>
      <c r="F35" s="17">
        <v>637885</v>
      </c>
      <c r="G35" s="17">
        <v>537110</v>
      </c>
      <c r="H35" s="17">
        <v>558731</v>
      </c>
      <c r="I35" s="17">
        <v>624053</v>
      </c>
      <c r="J35" s="17">
        <v>611562</v>
      </c>
      <c r="K35" s="17">
        <v>587633</v>
      </c>
      <c r="L35" s="16">
        <v>621378</v>
      </c>
      <c r="M35" s="16">
        <v>544558</v>
      </c>
      <c r="N35" s="16" t="s">
        <v>311</v>
      </c>
      <c r="O35" s="16"/>
      <c r="P35" s="16"/>
      <c r="Q35" s="16"/>
      <c r="R35" s="16"/>
    </row>
    <row r="36" spans="1:20">
      <c r="A36" s="128"/>
      <c r="B36" s="16" t="s">
        <v>20</v>
      </c>
      <c r="C36" s="17">
        <v>685054</v>
      </c>
      <c r="D36" s="17">
        <v>623798</v>
      </c>
      <c r="E36" s="17">
        <v>0</v>
      </c>
      <c r="F36" s="17">
        <v>0</v>
      </c>
      <c r="G36" s="17">
        <v>0</v>
      </c>
      <c r="H36" s="17">
        <v>0</v>
      </c>
      <c r="I36" s="17">
        <v>0</v>
      </c>
      <c r="J36" s="17">
        <v>0</v>
      </c>
      <c r="K36" s="17">
        <v>0</v>
      </c>
      <c r="L36" s="17">
        <v>0</v>
      </c>
      <c r="M36" s="17">
        <v>0</v>
      </c>
      <c r="N36" s="16"/>
      <c r="O36" s="16"/>
      <c r="P36" s="16"/>
      <c r="Q36" s="16" t="s">
        <v>30</v>
      </c>
      <c r="R36" s="16"/>
    </row>
    <row r="37" spans="1:20" s="1" customFormat="1">
      <c r="A37" s="128"/>
      <c r="B37" s="18" t="s">
        <v>28</v>
      </c>
      <c r="C37" s="19">
        <f>C35+C36</f>
        <v>1190252</v>
      </c>
      <c r="D37" s="19">
        <f t="shared" ref="D37:K37" si="12">D35+D36</f>
        <v>1124679</v>
      </c>
      <c r="E37" s="19">
        <f t="shared" si="12"/>
        <v>600292</v>
      </c>
      <c r="F37" s="19">
        <f t="shared" si="12"/>
        <v>637885</v>
      </c>
      <c r="G37" s="19">
        <f t="shared" si="12"/>
        <v>537110</v>
      </c>
      <c r="H37" s="19">
        <f t="shared" si="12"/>
        <v>558731</v>
      </c>
      <c r="I37" s="19">
        <f t="shared" si="12"/>
        <v>624053</v>
      </c>
      <c r="J37" s="19">
        <f t="shared" si="12"/>
        <v>611562</v>
      </c>
      <c r="K37" s="19">
        <f t="shared" si="12"/>
        <v>587633</v>
      </c>
      <c r="L37" s="19">
        <f t="shared" ref="L37:M37" si="13">L35+L36</f>
        <v>621378</v>
      </c>
      <c r="M37" s="19">
        <f t="shared" si="13"/>
        <v>544558</v>
      </c>
      <c r="N37" s="18"/>
      <c r="O37" s="18"/>
      <c r="P37" s="18"/>
      <c r="Q37" s="50">
        <f>M37/C37</f>
        <v>0.45751487920205131</v>
      </c>
      <c r="R37" s="18" t="s">
        <v>149</v>
      </c>
    </row>
    <row r="38" spans="1:20" s="1" customFormat="1">
      <c r="A38" s="128"/>
      <c r="B38" s="18" t="s">
        <v>29</v>
      </c>
      <c r="C38" s="19">
        <f>C37-C33</f>
        <v>1096398</v>
      </c>
      <c r="D38" s="19">
        <f t="shared" ref="D38:K38" si="14">D37-D33</f>
        <v>1038353</v>
      </c>
      <c r="E38" s="19">
        <f t="shared" si="14"/>
        <v>509460</v>
      </c>
      <c r="F38" s="19">
        <f t="shared" si="14"/>
        <v>547324</v>
      </c>
      <c r="G38" s="19">
        <f t="shared" si="14"/>
        <v>448269</v>
      </c>
      <c r="H38" s="19">
        <f t="shared" si="14"/>
        <v>461502</v>
      </c>
      <c r="I38" s="19">
        <f t="shared" si="14"/>
        <v>528805</v>
      </c>
      <c r="J38" s="19">
        <f t="shared" si="14"/>
        <v>514620</v>
      </c>
      <c r="K38" s="19">
        <f t="shared" si="14"/>
        <v>471829</v>
      </c>
      <c r="L38" s="19">
        <f t="shared" ref="L38:M38" si="15">L37-L33</f>
        <v>504973</v>
      </c>
      <c r="M38" s="19">
        <f t="shared" si="15"/>
        <v>400334</v>
      </c>
      <c r="N38" s="18"/>
      <c r="O38" s="18"/>
      <c r="P38" s="18"/>
      <c r="Q38" s="9" t="s">
        <v>38</v>
      </c>
      <c r="R38" s="18"/>
    </row>
    <row r="39" spans="1:20">
      <c r="C39" s="4"/>
      <c r="D39" s="4"/>
      <c r="E39" s="4"/>
      <c r="F39" s="4"/>
      <c r="G39" s="4"/>
      <c r="H39" s="4"/>
      <c r="I39" s="4"/>
      <c r="J39" s="4"/>
      <c r="K39" s="4"/>
    </row>
    <row r="40" spans="1:20" s="16" customFormat="1">
      <c r="A40" s="128" t="s">
        <v>33</v>
      </c>
      <c r="B40" s="16" t="s">
        <v>21</v>
      </c>
      <c r="C40" s="17">
        <v>0</v>
      </c>
      <c r="D40" s="17">
        <v>0</v>
      </c>
      <c r="E40" s="17">
        <v>0</v>
      </c>
      <c r="F40" s="17">
        <v>0</v>
      </c>
      <c r="G40" s="17">
        <v>0</v>
      </c>
      <c r="H40" s="17">
        <v>75686</v>
      </c>
      <c r="I40" s="17">
        <v>113530</v>
      </c>
      <c r="J40" s="17">
        <v>0</v>
      </c>
      <c r="K40" s="17">
        <v>0</v>
      </c>
      <c r="L40" s="17">
        <v>0</v>
      </c>
      <c r="M40" s="17">
        <v>0</v>
      </c>
      <c r="Q40" s="16" t="s">
        <v>25</v>
      </c>
      <c r="T40" t="s">
        <v>196</v>
      </c>
    </row>
    <row r="41" spans="1:20" s="16" customFormat="1">
      <c r="A41" s="128"/>
      <c r="B41" s="16" t="s">
        <v>22</v>
      </c>
      <c r="C41" s="17">
        <v>16452</v>
      </c>
      <c r="D41" s="17">
        <v>11597</v>
      </c>
      <c r="E41" s="17">
        <v>0</v>
      </c>
      <c r="F41" s="17">
        <v>0</v>
      </c>
      <c r="G41" s="17">
        <v>0</v>
      </c>
      <c r="H41" s="17">
        <v>0</v>
      </c>
      <c r="I41" s="17">
        <v>0</v>
      </c>
      <c r="J41" s="17">
        <v>0</v>
      </c>
      <c r="K41" s="17">
        <v>0</v>
      </c>
      <c r="L41" s="17">
        <v>0</v>
      </c>
      <c r="M41" s="17">
        <v>0</v>
      </c>
      <c r="Q41" s="16" t="s">
        <v>26</v>
      </c>
      <c r="S41" s="16" t="s">
        <v>3</v>
      </c>
      <c r="T41" s="16">
        <f>K38/K8</f>
        <v>1.8640084384851814</v>
      </c>
    </row>
    <row r="42" spans="1:20" s="16" customFormat="1">
      <c r="A42" s="128"/>
      <c r="B42" s="16" t="s">
        <v>23</v>
      </c>
      <c r="C42" s="17">
        <v>629820</v>
      </c>
      <c r="D42" s="17">
        <v>587712</v>
      </c>
      <c r="E42" s="17">
        <v>389430</v>
      </c>
      <c r="F42" s="17">
        <v>584302</v>
      </c>
      <c r="G42" s="17">
        <v>749353</v>
      </c>
      <c r="H42" s="17">
        <v>647442</v>
      </c>
      <c r="I42" s="17">
        <v>522732</v>
      </c>
      <c r="J42" s="17">
        <v>708101</v>
      </c>
      <c r="K42" s="17">
        <v>728876</v>
      </c>
      <c r="L42" s="16">
        <v>578251</v>
      </c>
      <c r="M42" s="16">
        <v>350280</v>
      </c>
      <c r="Q42" s="50">
        <f>K38/(K43+K38)</f>
        <v>0.39295996935133942</v>
      </c>
      <c r="S42" s="16" t="s">
        <v>2</v>
      </c>
      <c r="T42" s="16">
        <f>(K4+K5)/K42</f>
        <v>0.95827136577415084</v>
      </c>
    </row>
    <row r="43" spans="1:20" s="18" customFormat="1">
      <c r="A43" s="128"/>
      <c r="B43" s="18" t="s">
        <v>24</v>
      </c>
      <c r="C43" s="19">
        <f t="shared" ref="C43:J43" si="16">SUM(C40:C42)</f>
        <v>646272</v>
      </c>
      <c r="D43" s="19">
        <f t="shared" si="16"/>
        <v>599309</v>
      </c>
      <c r="E43" s="19">
        <f t="shared" si="16"/>
        <v>389430</v>
      </c>
      <c r="F43" s="19">
        <f t="shared" si="16"/>
        <v>584302</v>
      </c>
      <c r="G43" s="19">
        <f t="shared" si="16"/>
        <v>749353</v>
      </c>
      <c r="H43" s="19">
        <f t="shared" si="16"/>
        <v>723128</v>
      </c>
      <c r="I43" s="19">
        <f t="shared" si="16"/>
        <v>636262</v>
      </c>
      <c r="J43" s="19">
        <f t="shared" si="16"/>
        <v>708101</v>
      </c>
      <c r="K43" s="19">
        <f>SUM(K40:K42)</f>
        <v>728876</v>
      </c>
      <c r="L43" s="19">
        <f t="shared" ref="L43:M43" si="17">SUM(L40:L42)</f>
        <v>578251</v>
      </c>
      <c r="M43" s="19">
        <f t="shared" si="17"/>
        <v>350280</v>
      </c>
      <c r="Q43" s="18">
        <f>K43/K38</f>
        <v>1.5447884720947631</v>
      </c>
      <c r="R43" s="16">
        <v>2018</v>
      </c>
      <c r="S43" s="18">
        <f>M43/M38</f>
        <v>0.87496940055054029</v>
      </c>
      <c r="T43" s="16">
        <v>2020</v>
      </c>
    </row>
    <row r="44" spans="1:20">
      <c r="C44" s="4"/>
      <c r="D44" s="4"/>
      <c r="E44" s="4"/>
      <c r="F44" s="4"/>
      <c r="G44" s="4"/>
      <c r="H44" s="4"/>
      <c r="I44" s="4"/>
      <c r="J44" s="4"/>
      <c r="K44" s="4"/>
    </row>
    <row r="45" spans="1:20">
      <c r="A45" s="129" t="s">
        <v>34</v>
      </c>
      <c r="B45" s="24" t="s">
        <v>292</v>
      </c>
      <c r="C45" s="25">
        <v>212823</v>
      </c>
      <c r="D45" s="25">
        <v>349635</v>
      </c>
      <c r="E45" s="25">
        <v>386100</v>
      </c>
      <c r="F45" s="25">
        <v>450684</v>
      </c>
      <c r="G45" s="25">
        <v>512655</v>
      </c>
      <c r="H45" s="25">
        <v>352714</v>
      </c>
      <c r="I45" s="25">
        <v>595100</v>
      </c>
      <c r="J45" s="25">
        <v>0</v>
      </c>
      <c r="K45" s="25">
        <v>0</v>
      </c>
      <c r="L45" s="25">
        <v>0</v>
      </c>
      <c r="M45" s="25">
        <v>0</v>
      </c>
      <c r="N45" s="24"/>
      <c r="O45" s="24"/>
      <c r="P45" s="24"/>
      <c r="Q45" s="24"/>
      <c r="R45" s="24"/>
    </row>
    <row r="46" spans="1:20">
      <c r="A46" s="129"/>
      <c r="B46" s="24" t="s">
        <v>293</v>
      </c>
      <c r="C46" s="25">
        <v>0</v>
      </c>
      <c r="D46" s="25">
        <v>5564</v>
      </c>
      <c r="E46" s="25">
        <v>16187</v>
      </c>
      <c r="F46" s="25">
        <v>16200</v>
      </c>
      <c r="G46" s="25">
        <v>14248</v>
      </c>
      <c r="H46" s="25">
        <v>15728</v>
      </c>
      <c r="I46" s="25">
        <v>14548</v>
      </c>
      <c r="J46" s="25">
        <v>12372</v>
      </c>
      <c r="K46" s="25">
        <v>11086</v>
      </c>
      <c r="L46" s="24">
        <v>13091</v>
      </c>
      <c r="M46" s="24">
        <v>15807</v>
      </c>
      <c r="N46" s="24"/>
      <c r="O46" s="24"/>
      <c r="P46" s="24"/>
      <c r="Q46" s="24"/>
      <c r="R46" s="24"/>
    </row>
    <row r="47" spans="1:20">
      <c r="A47" s="129"/>
      <c r="B47" s="24" t="s">
        <v>294</v>
      </c>
      <c r="C47" s="25">
        <v>254757</v>
      </c>
      <c r="D47" s="25">
        <v>148890</v>
      </c>
      <c r="E47" s="25">
        <v>622661</v>
      </c>
      <c r="F47" s="25">
        <v>507533</v>
      </c>
      <c r="G47" s="25">
        <v>456064</v>
      </c>
      <c r="H47" s="25">
        <v>554845</v>
      </c>
      <c r="I47" s="25">
        <v>729902</v>
      </c>
      <c r="J47" s="25">
        <v>584636</v>
      </c>
      <c r="K47" s="25">
        <v>571643</v>
      </c>
      <c r="L47" s="24">
        <v>635450</v>
      </c>
      <c r="M47" s="24">
        <v>920123</v>
      </c>
      <c r="N47" s="24"/>
      <c r="O47" s="24"/>
      <c r="P47" s="24"/>
      <c r="Q47" s="24"/>
      <c r="R47" s="24"/>
    </row>
    <row r="48" spans="1:20" s="1" customFormat="1">
      <c r="A48" s="26"/>
      <c r="B48" s="27" t="s">
        <v>36</v>
      </c>
      <c r="C48" s="28">
        <f>SUM(C45:C47)</f>
        <v>467580</v>
      </c>
      <c r="D48" s="28">
        <f t="shared" ref="D48:M48" si="18">SUM(D45:D47)</f>
        <v>504089</v>
      </c>
      <c r="E48" s="28">
        <f t="shared" si="18"/>
        <v>1024948</v>
      </c>
      <c r="F48" s="28">
        <f t="shared" si="18"/>
        <v>974417</v>
      </c>
      <c r="G48" s="28">
        <f t="shared" si="18"/>
        <v>982967</v>
      </c>
      <c r="H48" s="28">
        <f t="shared" si="18"/>
        <v>923287</v>
      </c>
      <c r="I48" s="28">
        <f t="shared" si="18"/>
        <v>1339550</v>
      </c>
      <c r="J48" s="28">
        <f t="shared" si="18"/>
        <v>597008</v>
      </c>
      <c r="K48" s="28">
        <f t="shared" si="18"/>
        <v>582729</v>
      </c>
      <c r="L48" s="28">
        <f t="shared" si="18"/>
        <v>648541</v>
      </c>
      <c r="M48" s="28">
        <f t="shared" si="18"/>
        <v>935930</v>
      </c>
      <c r="N48" s="27"/>
      <c r="O48" s="27"/>
      <c r="P48" s="27"/>
      <c r="Q48" s="24" t="s">
        <v>37</v>
      </c>
      <c r="R48" s="27"/>
    </row>
    <row r="49" spans="1:20">
      <c r="C49" s="4"/>
      <c r="D49" s="4"/>
      <c r="E49" s="4"/>
      <c r="F49" s="4"/>
      <c r="G49" s="4"/>
      <c r="H49" s="4"/>
      <c r="I49" s="4"/>
      <c r="J49" s="4"/>
      <c r="K49" s="4"/>
    </row>
    <row r="50" spans="1:20" ht="17">
      <c r="A50" s="23" t="s">
        <v>48</v>
      </c>
      <c r="C50" s="4"/>
      <c r="D50" s="4"/>
      <c r="E50" s="4"/>
      <c r="F50" s="4"/>
      <c r="G50" s="4"/>
      <c r="H50" s="4"/>
      <c r="I50" s="4"/>
      <c r="J50" s="4"/>
      <c r="K50" s="4"/>
      <c r="Q50" t="s">
        <v>43</v>
      </c>
    </row>
    <row r="51" spans="1:20" ht="17">
      <c r="A51" s="20" t="s">
        <v>40</v>
      </c>
      <c r="B51" t="s">
        <v>296</v>
      </c>
      <c r="C51" s="4">
        <v>71136</v>
      </c>
      <c r="D51" s="4">
        <v>73482</v>
      </c>
      <c r="E51" s="4">
        <v>116597</v>
      </c>
      <c r="F51" s="4">
        <v>112788</v>
      </c>
      <c r="G51" s="4">
        <v>107221</v>
      </c>
      <c r="H51" s="4">
        <v>110508</v>
      </c>
      <c r="I51" s="4">
        <v>116422</v>
      </c>
      <c r="J51" s="4">
        <v>116989</v>
      </c>
      <c r="K51" s="4">
        <v>127099</v>
      </c>
      <c r="L51" s="4">
        <v>119661</v>
      </c>
      <c r="M51" s="4">
        <v>142647</v>
      </c>
      <c r="P51" s="6">
        <f>M51/C51</f>
        <v>2.0052715924426452</v>
      </c>
      <c r="Q51" s="126" t="s">
        <v>295</v>
      </c>
    </row>
    <row r="52" spans="1:20">
      <c r="B52" t="s">
        <v>1</v>
      </c>
      <c r="C52" s="4">
        <v>137899</v>
      </c>
      <c r="D52" s="4">
        <v>107292</v>
      </c>
      <c r="E52" s="4">
        <v>95667</v>
      </c>
      <c r="F52" s="4">
        <v>65674</v>
      </c>
      <c r="G52" s="4">
        <v>45749</v>
      </c>
      <c r="H52" s="4">
        <v>54549</v>
      </c>
      <c r="I52" s="4">
        <v>75625</v>
      </c>
      <c r="J52" s="4">
        <v>0</v>
      </c>
      <c r="K52" s="4">
        <v>0</v>
      </c>
      <c r="L52" s="4">
        <v>0</v>
      </c>
      <c r="M52" s="4">
        <v>0</v>
      </c>
      <c r="Q52" t="s">
        <v>41</v>
      </c>
    </row>
    <row r="53" spans="1:20">
      <c r="B53" t="s">
        <v>35</v>
      </c>
      <c r="C53" s="4">
        <v>16154</v>
      </c>
      <c r="D53" s="4">
        <v>15279</v>
      </c>
      <c r="E53" s="4">
        <v>10072</v>
      </c>
      <c r="F53" s="4">
        <v>7297</v>
      </c>
      <c r="G53" s="4">
        <v>6751</v>
      </c>
      <c r="H53" s="4">
        <v>5627</v>
      </c>
      <c r="I53" s="4">
        <v>5184</v>
      </c>
      <c r="J53" s="4">
        <v>5285</v>
      </c>
      <c r="K53" s="4">
        <v>5183</v>
      </c>
      <c r="L53" s="4">
        <v>5175</v>
      </c>
      <c r="M53" s="4">
        <v>4858</v>
      </c>
      <c r="Q53" t="s">
        <v>42</v>
      </c>
    </row>
    <row r="54" spans="1:20">
      <c r="B54" t="s">
        <v>44</v>
      </c>
      <c r="C54" s="4">
        <v>479321</v>
      </c>
      <c r="D54" s="4">
        <v>551474</v>
      </c>
      <c r="E54" s="4">
        <v>453121</v>
      </c>
      <c r="F54" s="4">
        <v>375359</v>
      </c>
      <c r="G54" s="4">
        <v>346285</v>
      </c>
      <c r="H54" s="4">
        <v>177056</v>
      </c>
      <c r="I54" s="4">
        <v>158125</v>
      </c>
      <c r="J54" s="4">
        <v>206449</v>
      </c>
      <c r="K54" s="4">
        <v>137918</v>
      </c>
      <c r="L54" s="4">
        <v>202219</v>
      </c>
      <c r="M54" s="4">
        <v>171431</v>
      </c>
      <c r="P54" s="6">
        <f>M54/C54</f>
        <v>0.35765384783892212</v>
      </c>
    </row>
    <row r="55" spans="1:20">
      <c r="B55" t="s">
        <v>45</v>
      </c>
      <c r="C55" s="4">
        <v>0</v>
      </c>
      <c r="D55" s="4">
        <v>0</v>
      </c>
      <c r="E55" s="4">
        <v>0</v>
      </c>
      <c r="F55" s="4">
        <v>0</v>
      </c>
      <c r="G55" s="4">
        <v>0</v>
      </c>
      <c r="H55" s="4">
        <v>0</v>
      </c>
      <c r="I55" s="4">
        <v>0</v>
      </c>
      <c r="J55" s="4">
        <v>3278</v>
      </c>
      <c r="K55" s="4">
        <v>2586</v>
      </c>
      <c r="L55" s="4">
        <v>2309</v>
      </c>
      <c r="M55" s="4">
        <v>1465</v>
      </c>
    </row>
    <row r="56" spans="1:20">
      <c r="B56" t="s">
        <v>46</v>
      </c>
      <c r="C56" s="4">
        <v>0</v>
      </c>
      <c r="D56" s="4">
        <v>0</v>
      </c>
      <c r="E56" s="4">
        <v>0</v>
      </c>
      <c r="F56" s="4">
        <v>0</v>
      </c>
      <c r="G56" s="4">
        <v>0</v>
      </c>
      <c r="H56" s="4">
        <v>0</v>
      </c>
      <c r="I56" s="4">
        <v>0</v>
      </c>
      <c r="J56" s="4">
        <v>3657</v>
      </c>
      <c r="K56" s="4">
        <v>2280</v>
      </c>
      <c r="L56" s="4">
        <v>2309</v>
      </c>
      <c r="M56" s="4">
        <v>1465</v>
      </c>
    </row>
    <row r="57" spans="1:20" s="1" customFormat="1">
      <c r="A57" s="22"/>
      <c r="B57" s="1" t="s">
        <v>47</v>
      </c>
      <c r="C57" s="29">
        <f>SUM(C51:C56)</f>
        <v>704510</v>
      </c>
      <c r="D57" s="29">
        <f t="shared" ref="D57:M57" si="19">SUM(D51:D56)</f>
        <v>747527</v>
      </c>
      <c r="E57" s="29">
        <f t="shared" si="19"/>
        <v>675457</v>
      </c>
      <c r="F57" s="29">
        <f t="shared" si="19"/>
        <v>561118</v>
      </c>
      <c r="G57" s="29">
        <f t="shared" si="19"/>
        <v>506006</v>
      </c>
      <c r="H57" s="29">
        <f t="shared" si="19"/>
        <v>347740</v>
      </c>
      <c r="I57" s="29">
        <f t="shared" si="19"/>
        <v>355356</v>
      </c>
      <c r="J57" s="29">
        <f t="shared" si="19"/>
        <v>335658</v>
      </c>
      <c r="K57" s="29">
        <f t="shared" si="19"/>
        <v>275066</v>
      </c>
      <c r="L57" s="29">
        <f t="shared" si="19"/>
        <v>331673</v>
      </c>
      <c r="M57" s="29">
        <f t="shared" si="19"/>
        <v>321866</v>
      </c>
      <c r="P57" s="49"/>
      <c r="Q57"/>
    </row>
    <row r="58" spans="1:20" s="1" customFormat="1">
      <c r="A58" s="22"/>
      <c r="B58" s="1" t="s">
        <v>473</v>
      </c>
      <c r="C58" s="29">
        <f>SUM(C52:C56)</f>
        <v>633374</v>
      </c>
      <c r="D58" s="29">
        <f t="shared" ref="D58:M58" si="20">SUM(D52:D56)</f>
        <v>674045</v>
      </c>
      <c r="E58" s="29">
        <f t="shared" si="20"/>
        <v>558860</v>
      </c>
      <c r="F58" s="29">
        <f t="shared" si="20"/>
        <v>448330</v>
      </c>
      <c r="G58" s="29">
        <f t="shared" si="20"/>
        <v>398785</v>
      </c>
      <c r="H58" s="29">
        <f t="shared" si="20"/>
        <v>237232</v>
      </c>
      <c r="I58" s="29">
        <f t="shared" si="20"/>
        <v>238934</v>
      </c>
      <c r="J58" s="29">
        <f t="shared" si="20"/>
        <v>218669</v>
      </c>
      <c r="K58" s="29">
        <f t="shared" si="20"/>
        <v>147967</v>
      </c>
      <c r="L58" s="29">
        <f t="shared" si="20"/>
        <v>212012</v>
      </c>
      <c r="M58" s="29">
        <f t="shared" si="20"/>
        <v>179219</v>
      </c>
      <c r="P58" s="6">
        <f>M58/C58</f>
        <v>0.28295919946192927</v>
      </c>
      <c r="Q58"/>
    </row>
    <row r="59" spans="1:20" s="1" customFormat="1">
      <c r="A59" s="22"/>
      <c r="B59" s="12" t="s">
        <v>324</v>
      </c>
      <c r="C59" s="87"/>
      <c r="D59" s="86"/>
      <c r="E59" s="86">
        <v>189961</v>
      </c>
      <c r="F59" s="86">
        <v>187718</v>
      </c>
      <c r="G59" s="86">
        <v>158383</v>
      </c>
      <c r="H59" s="86">
        <v>157540</v>
      </c>
      <c r="I59" s="86">
        <v>141842</v>
      </c>
      <c r="J59" s="86">
        <v>168676</v>
      </c>
      <c r="K59" s="86">
        <v>147857</v>
      </c>
      <c r="L59" s="86">
        <v>152646</v>
      </c>
      <c r="M59" s="86">
        <v>171214</v>
      </c>
      <c r="N59" s="86">
        <v>151015</v>
      </c>
      <c r="Q59" s="86" t="s">
        <v>320</v>
      </c>
    </row>
    <row r="60" spans="1:20" s="1" customFormat="1">
      <c r="A60" s="22"/>
      <c r="B60" s="1" t="s">
        <v>322</v>
      </c>
      <c r="C60" s="29"/>
      <c r="D60" s="29"/>
      <c r="E60" s="29">
        <f t="shared" ref="E60:K60" si="21">E51+E59</f>
        <v>306558</v>
      </c>
      <c r="F60" s="29">
        <f t="shared" si="21"/>
        <v>300506</v>
      </c>
      <c r="G60" s="29">
        <f t="shared" si="21"/>
        <v>265604</v>
      </c>
      <c r="H60" s="29">
        <f t="shared" si="21"/>
        <v>268048</v>
      </c>
      <c r="I60" s="29">
        <f t="shared" si="21"/>
        <v>258264</v>
      </c>
      <c r="J60" s="29">
        <f t="shared" si="21"/>
        <v>285665</v>
      </c>
      <c r="K60" s="29">
        <f t="shared" si="21"/>
        <v>274956</v>
      </c>
      <c r="L60" s="29">
        <f>L51+L59</f>
        <v>272307</v>
      </c>
      <c r="M60" s="29">
        <f>M51+M59</f>
        <v>313861</v>
      </c>
      <c r="Q60"/>
    </row>
    <row r="61" spans="1:20" s="1" customFormat="1">
      <c r="A61" s="22"/>
      <c r="B61" s="12" t="s">
        <v>458</v>
      </c>
      <c r="C61" s="86"/>
      <c r="D61" s="86"/>
      <c r="E61" s="86">
        <v>310680</v>
      </c>
      <c r="F61" s="86">
        <v>302825</v>
      </c>
      <c r="G61" s="86">
        <v>267064</v>
      </c>
      <c r="H61" s="86">
        <v>271969</v>
      </c>
      <c r="I61" s="86">
        <v>260114</v>
      </c>
      <c r="J61" s="86">
        <v>287478</v>
      </c>
      <c r="K61" s="86">
        <v>276698</v>
      </c>
      <c r="L61" s="86">
        <v>274151</v>
      </c>
      <c r="M61" s="86">
        <v>439536</v>
      </c>
      <c r="N61" s="86">
        <v>311077</v>
      </c>
      <c r="Q61" s="52" t="s">
        <v>471</v>
      </c>
    </row>
    <row r="62" spans="1:20" s="1" customFormat="1" ht="34">
      <c r="B62" s="88" t="s">
        <v>459</v>
      </c>
      <c r="C62" s="87"/>
      <c r="D62" s="86"/>
      <c r="E62" s="86">
        <v>34342</v>
      </c>
      <c r="F62" s="86">
        <v>29685</v>
      </c>
      <c r="G62" s="86">
        <v>25277</v>
      </c>
      <c r="H62" s="86">
        <v>29772</v>
      </c>
      <c r="I62" s="86">
        <v>28599</v>
      </c>
      <c r="J62" s="86">
        <v>32191</v>
      </c>
      <c r="K62" s="86">
        <v>32509</v>
      </c>
      <c r="L62" s="12">
        <v>36095</v>
      </c>
      <c r="M62" s="86">
        <v>55822</v>
      </c>
      <c r="N62" s="86">
        <v>50539</v>
      </c>
      <c r="Q62" s="52" t="s">
        <v>472</v>
      </c>
    </row>
    <row r="63" spans="1:20" s="1" customFormat="1" ht="34">
      <c r="B63" s="116" t="s">
        <v>439</v>
      </c>
      <c r="C63" s="117"/>
      <c r="D63" s="118"/>
      <c r="E63" s="118"/>
      <c r="F63" s="118"/>
      <c r="G63" s="118"/>
      <c r="H63" s="118"/>
      <c r="I63" s="118"/>
      <c r="J63" s="118"/>
      <c r="K63" s="118"/>
      <c r="L63" s="119"/>
      <c r="M63" s="118">
        <f>'Biogenic LF emissions'!D28</f>
        <v>61795.985417942182</v>
      </c>
      <c r="N63" s="30"/>
      <c r="Q63" t="s">
        <v>437</v>
      </c>
    </row>
    <row r="64" spans="1:20" s="1" customFormat="1">
      <c r="A64" s="22"/>
      <c r="B64" s="1" t="s">
        <v>321</v>
      </c>
      <c r="C64" s="29"/>
      <c r="D64" s="29"/>
      <c r="E64" s="29">
        <f t="shared" ref="E64:L64" si="22">E57+E59</f>
        <v>865418</v>
      </c>
      <c r="F64" s="29">
        <f t="shared" si="22"/>
        <v>748836</v>
      </c>
      <c r="G64" s="29">
        <f t="shared" si="22"/>
        <v>664389</v>
      </c>
      <c r="H64" s="29">
        <f t="shared" si="22"/>
        <v>505280</v>
      </c>
      <c r="I64" s="29">
        <f t="shared" si="22"/>
        <v>497198</v>
      </c>
      <c r="J64" s="29">
        <f t="shared" si="22"/>
        <v>504334</v>
      </c>
      <c r="K64" s="29">
        <f t="shared" si="22"/>
        <v>422923</v>
      </c>
      <c r="L64" s="29">
        <f t="shared" si="22"/>
        <v>484319</v>
      </c>
      <c r="M64" s="29">
        <f>M57+M59</f>
        <v>493080</v>
      </c>
      <c r="Q64" t="s">
        <v>445</v>
      </c>
      <c r="R64" s="120">
        <f>(M70-M74)*M8</f>
        <v>235066.90257648236</v>
      </c>
      <c r="S64" t="s">
        <v>446</v>
      </c>
      <c r="T64" s="29">
        <f>M60</f>
        <v>313861</v>
      </c>
    </row>
    <row r="65" spans="1:17" s="1" customFormat="1">
      <c r="A65" s="22"/>
      <c r="B65" t="s">
        <v>323</v>
      </c>
      <c r="C65"/>
      <c r="D65"/>
      <c r="E65" s="30">
        <f t="shared" ref="E65:M65" si="23">E61+E52+E53+E54+E55+E56</f>
        <v>869540</v>
      </c>
      <c r="F65" s="30">
        <f t="shared" si="23"/>
        <v>751155</v>
      </c>
      <c r="G65" s="30">
        <f t="shared" si="23"/>
        <v>665849</v>
      </c>
      <c r="H65" s="30">
        <f t="shared" si="23"/>
        <v>509201</v>
      </c>
      <c r="I65" s="30">
        <f t="shared" si="23"/>
        <v>499048</v>
      </c>
      <c r="J65" s="30">
        <f t="shared" si="23"/>
        <v>506147</v>
      </c>
      <c r="K65" s="30">
        <f t="shared" si="23"/>
        <v>424665</v>
      </c>
      <c r="L65" s="30">
        <f t="shared" si="23"/>
        <v>486163</v>
      </c>
      <c r="M65" s="30">
        <f t="shared" si="23"/>
        <v>618755</v>
      </c>
      <c r="Q65"/>
    </row>
    <row r="66" spans="1:17">
      <c r="B66" t="s">
        <v>325</v>
      </c>
      <c r="E66" s="30">
        <f t="shared" ref="E66:M66" si="24">E65+E62-E54</f>
        <v>450761</v>
      </c>
      <c r="F66" s="30">
        <f t="shared" si="24"/>
        <v>405481</v>
      </c>
      <c r="G66" s="30">
        <f t="shared" si="24"/>
        <v>344841</v>
      </c>
      <c r="H66" s="30">
        <f t="shared" si="24"/>
        <v>361917</v>
      </c>
      <c r="I66" s="30">
        <f t="shared" si="24"/>
        <v>369522</v>
      </c>
      <c r="J66" s="30">
        <f t="shared" si="24"/>
        <v>331889</v>
      </c>
      <c r="K66" s="30">
        <f t="shared" si="24"/>
        <v>319256</v>
      </c>
      <c r="L66" s="30">
        <f t="shared" si="24"/>
        <v>320039</v>
      </c>
      <c r="M66" s="30">
        <f t="shared" si="24"/>
        <v>503146</v>
      </c>
    </row>
    <row r="67" spans="1:17">
      <c r="B67" s="12" t="s">
        <v>326</v>
      </c>
      <c r="C67" s="12"/>
      <c r="D67" s="12"/>
      <c r="E67" s="86">
        <v>25</v>
      </c>
      <c r="F67" s="86">
        <v>24</v>
      </c>
      <c r="G67" s="86">
        <v>24</v>
      </c>
      <c r="H67" s="86">
        <v>23</v>
      </c>
      <c r="I67" s="86">
        <v>23</v>
      </c>
      <c r="J67" s="86">
        <v>25</v>
      </c>
      <c r="K67" s="86">
        <v>24</v>
      </c>
      <c r="L67" s="86">
        <v>25</v>
      </c>
      <c r="M67" s="86">
        <v>16</v>
      </c>
      <c r="N67" s="12">
        <v>22</v>
      </c>
      <c r="Q67" t="s">
        <v>320</v>
      </c>
    </row>
    <row r="68" spans="1:17" ht="34">
      <c r="A68" s="75" t="s">
        <v>298</v>
      </c>
      <c r="B68" s="76" t="s">
        <v>296</v>
      </c>
      <c r="C68" s="77">
        <f t="shared" ref="C68:M68" si="25">C51/C8</f>
        <v>0.25006679134384185</v>
      </c>
      <c r="D68" s="77">
        <f t="shared" si="25"/>
        <v>0.26137248834206567</v>
      </c>
      <c r="E68" s="77">
        <f t="shared" si="25"/>
        <v>0.41455237147123658</v>
      </c>
      <c r="F68" s="77">
        <f t="shared" si="25"/>
        <v>0.40261585361500402</v>
      </c>
      <c r="G68" s="77">
        <f t="shared" si="25"/>
        <v>0.38952626607571023</v>
      </c>
      <c r="H68" s="77">
        <f t="shared" si="25"/>
        <v>0.43099507804151294</v>
      </c>
      <c r="I68" s="77">
        <f t="shared" si="25"/>
        <v>0.45789283242086715</v>
      </c>
      <c r="J68" s="77">
        <f t="shared" si="25"/>
        <v>0.4503942282519981</v>
      </c>
      <c r="K68" s="77">
        <f t="shared" si="25"/>
        <v>0.50211752249867658</v>
      </c>
      <c r="L68" s="77">
        <f t="shared" si="25"/>
        <v>0.47269186404790875</v>
      </c>
      <c r="M68" s="77">
        <f t="shared" si="25"/>
        <v>0.58375279298745308</v>
      </c>
    </row>
    <row r="69" spans="1:17">
      <c r="A69" s="75"/>
      <c r="B69" s="76" t="s">
        <v>324</v>
      </c>
      <c r="C69" s="77"/>
      <c r="D69" s="77"/>
      <c r="E69" s="77">
        <f t="shared" ref="E69:M69" si="26">E59/E8</f>
        <v>0.67539287492000288</v>
      </c>
      <c r="F69" s="77">
        <f t="shared" si="26"/>
        <v>0.67009116935224777</v>
      </c>
      <c r="G69" s="77">
        <f t="shared" si="26"/>
        <v>0.57539417278209692</v>
      </c>
      <c r="H69" s="77">
        <f t="shared" si="26"/>
        <v>0.6144257845102612</v>
      </c>
      <c r="I69" s="77">
        <f t="shared" si="26"/>
        <v>0.55787080737524386</v>
      </c>
      <c r="J69" s="77">
        <f t="shared" si="26"/>
        <v>0.64938324837919825</v>
      </c>
      <c r="K69" s="77">
        <f t="shared" si="26"/>
        <v>0.58412411210227322</v>
      </c>
      <c r="L69" s="77">
        <f t="shared" si="26"/>
        <v>0.60299113562026951</v>
      </c>
      <c r="M69" s="77">
        <f t="shared" si="26"/>
        <v>0.70065722166294264</v>
      </c>
    </row>
    <row r="70" spans="1:17">
      <c r="A70" s="75"/>
      <c r="B70" s="76" t="s">
        <v>297</v>
      </c>
      <c r="C70" s="77"/>
      <c r="D70" s="77"/>
      <c r="E70" s="77">
        <f t="shared" ref="E70:L70" si="27">E68+E69</f>
        <v>1.0899452463912396</v>
      </c>
      <c r="F70" s="77">
        <f t="shared" si="27"/>
        <v>1.0727070229672517</v>
      </c>
      <c r="G70" s="77">
        <f t="shared" si="27"/>
        <v>0.96492043885780721</v>
      </c>
      <c r="H70" s="77">
        <f t="shared" si="27"/>
        <v>1.045420862551774</v>
      </c>
      <c r="I70" s="77">
        <f t="shared" si="27"/>
        <v>1.015763639796111</v>
      </c>
      <c r="J70" s="77">
        <f t="shared" si="27"/>
        <v>1.0997774766311963</v>
      </c>
      <c r="K70" s="77">
        <f t="shared" si="27"/>
        <v>1.0862416346009498</v>
      </c>
      <c r="L70" s="77">
        <f t="shared" si="27"/>
        <v>1.0756829996681783</v>
      </c>
      <c r="M70" s="77">
        <f>M68+M69</f>
        <v>1.2844100146503958</v>
      </c>
    </row>
    <row r="71" spans="1:17">
      <c r="A71" s="78"/>
      <c r="B71" s="76" t="s">
        <v>1</v>
      </c>
      <c r="C71" s="77">
        <f t="shared" ref="C71:I71" si="28">C52/C3</f>
        <v>0.3478924477274562</v>
      </c>
      <c r="D71" s="77">
        <f t="shared" si="28"/>
        <v>0.38284525546924342</v>
      </c>
      <c r="E71" s="77">
        <f t="shared" si="28"/>
        <v>0.39385019472873833</v>
      </c>
      <c r="F71" s="77">
        <f t="shared" si="28"/>
        <v>0.30254477776958799</v>
      </c>
      <c r="G71" s="77">
        <f t="shared" si="28"/>
        <v>0.22080592303719757</v>
      </c>
      <c r="H71" s="77">
        <f t="shared" si="28"/>
        <v>0.2645466978341206</v>
      </c>
      <c r="I71" s="77">
        <f t="shared" si="28"/>
        <v>0.5607417733157356</v>
      </c>
      <c r="J71" s="77" t="s">
        <v>49</v>
      </c>
      <c r="K71" s="77" t="s">
        <v>49</v>
      </c>
      <c r="L71" s="77" t="s">
        <v>49</v>
      </c>
      <c r="M71" s="77" t="s">
        <v>49</v>
      </c>
    </row>
    <row r="72" spans="1:17">
      <c r="A72" s="78"/>
      <c r="B72" s="76" t="s">
        <v>44</v>
      </c>
      <c r="C72" s="77">
        <f t="shared" ref="C72:M72" si="29">C54/(C4+C5)</f>
        <v>0.84414696988642468</v>
      </c>
      <c r="D72" s="77">
        <f t="shared" si="29"/>
        <v>0.8448769546839644</v>
      </c>
      <c r="E72" s="77">
        <f t="shared" si="29"/>
        <v>0.69222108495394064</v>
      </c>
      <c r="F72" s="77">
        <f t="shared" si="29"/>
        <v>0.67686401373350935</v>
      </c>
      <c r="G72" s="77">
        <f t="shared" si="29"/>
        <v>0.70914266405906023</v>
      </c>
      <c r="H72" s="77">
        <f t="shared" si="29"/>
        <v>0.361215667313385</v>
      </c>
      <c r="I72" s="77">
        <f t="shared" si="29"/>
        <v>0.24843203056754837</v>
      </c>
      <c r="J72" s="77">
        <f t="shared" si="29"/>
        <v>0.29677605769659265</v>
      </c>
      <c r="K72" s="77">
        <f t="shared" si="29"/>
        <v>0.19745984385670781</v>
      </c>
      <c r="L72" s="77">
        <f t="shared" si="29"/>
        <v>0.28861546102772845</v>
      </c>
      <c r="M72" s="77">
        <f t="shared" si="29"/>
        <v>0.25984866628065251</v>
      </c>
    </row>
    <row r="73" spans="1:17">
      <c r="A73" s="78"/>
      <c r="B73" s="76" t="s">
        <v>440</v>
      </c>
      <c r="C73" s="77">
        <v>6.2599576177330571E-2</v>
      </c>
      <c r="D73" s="77">
        <v>6.2599576177330571E-2</v>
      </c>
      <c r="E73" s="77">
        <v>6.2599576177330571E-2</v>
      </c>
      <c r="F73" s="77">
        <v>6.2599576177330571E-2</v>
      </c>
      <c r="G73" s="77">
        <v>6.2599576177330571E-2</v>
      </c>
      <c r="H73" s="77">
        <v>6.2599576177330571E-2</v>
      </c>
      <c r="I73" s="77">
        <v>6.2599576177330571E-2</v>
      </c>
      <c r="J73" s="77">
        <v>6.2599576177330571E-2</v>
      </c>
      <c r="K73" s="77">
        <v>6.2599576177330571E-2</v>
      </c>
      <c r="L73" s="77">
        <v>6.2599576177330571E-2</v>
      </c>
      <c r="M73" s="77">
        <f>'Biogenic LF emissions'!D29</f>
        <v>6.2599576177330571E-2</v>
      </c>
      <c r="Q73" t="s">
        <v>447</v>
      </c>
    </row>
    <row r="74" spans="1:17">
      <c r="A74" s="78"/>
      <c r="B74" s="76" t="s">
        <v>441</v>
      </c>
      <c r="C74" s="77">
        <f t="shared" ref="C74:L74" si="30">C72+C73</f>
        <v>0.90674654606375527</v>
      </c>
      <c r="D74" s="77">
        <f t="shared" si="30"/>
        <v>0.90747653086129498</v>
      </c>
      <c r="E74" s="77">
        <f t="shared" si="30"/>
        <v>0.75482066113127122</v>
      </c>
      <c r="F74" s="77">
        <f t="shared" si="30"/>
        <v>0.73946358991083994</v>
      </c>
      <c r="G74" s="77">
        <f t="shared" si="30"/>
        <v>0.77174224023639082</v>
      </c>
      <c r="H74" s="77">
        <f t="shared" si="30"/>
        <v>0.42381524349071559</v>
      </c>
      <c r="I74" s="77">
        <f t="shared" si="30"/>
        <v>0.31103160674487895</v>
      </c>
      <c r="J74" s="77">
        <f t="shared" si="30"/>
        <v>0.35937563387392324</v>
      </c>
      <c r="K74" s="77">
        <f t="shared" si="30"/>
        <v>0.26005942003403837</v>
      </c>
      <c r="L74" s="77">
        <f t="shared" si="30"/>
        <v>0.35121503720505903</v>
      </c>
      <c r="M74" s="77">
        <f>M72+M73</f>
        <v>0.32244824245798309</v>
      </c>
    </row>
    <row r="75" spans="1:17">
      <c r="A75" s="78"/>
      <c r="B75" s="76" t="s">
        <v>50</v>
      </c>
      <c r="C75" s="77"/>
      <c r="D75" s="77"/>
      <c r="E75" s="77"/>
      <c r="F75" s="77"/>
      <c r="G75" s="77"/>
      <c r="H75" s="77"/>
      <c r="I75" s="77"/>
      <c r="J75" s="77">
        <f>(J56+J55)/(J9)</f>
        <v>8.0847293626645222E-2</v>
      </c>
      <c r="K75" s="77">
        <f>(K56+K55)/(K9)</f>
        <v>8.2925748564222287E-2</v>
      </c>
      <c r="L75" s="77">
        <f>(L56+L55)/(L9)</f>
        <v>8.2924814595341984E-2</v>
      </c>
      <c r="M75" s="77">
        <f>(M56+M55)/(M9)</f>
        <v>8.2908885116015851E-2</v>
      </c>
    </row>
    <row r="76" spans="1:17" s="110" customFormat="1" ht="34">
      <c r="A76" s="112" t="s">
        <v>371</v>
      </c>
      <c r="C76" s="111"/>
      <c r="D76" s="111"/>
      <c r="E76" s="111"/>
      <c r="F76" s="111"/>
      <c r="G76" s="111"/>
      <c r="H76" s="111"/>
      <c r="I76" s="111"/>
      <c r="J76" s="111"/>
      <c r="K76" s="111"/>
      <c r="L76" s="111"/>
      <c r="M76" s="111"/>
    </row>
    <row r="77" spans="1:17" s="110" customFormat="1">
      <c r="A77" s="109"/>
      <c r="B77" s="110" t="s">
        <v>370</v>
      </c>
      <c r="C77" s="111"/>
      <c r="D77" s="111"/>
      <c r="E77" s="111"/>
      <c r="F77" s="111"/>
      <c r="G77" s="111"/>
      <c r="H77" s="111"/>
      <c r="I77" s="111"/>
      <c r="J77" s="111"/>
      <c r="K77" s="111"/>
      <c r="L77" s="111"/>
      <c r="M77" s="111"/>
      <c r="N77" s="110">
        <v>9800</v>
      </c>
      <c r="O77" s="110">
        <v>10200</v>
      </c>
      <c r="Q77" s="110" t="s">
        <v>372</v>
      </c>
    </row>
    <row r="78" spans="1:17" s="110" customFormat="1">
      <c r="A78" s="109"/>
      <c r="C78" s="111"/>
      <c r="D78" s="111"/>
      <c r="E78" s="111"/>
      <c r="F78" s="111"/>
      <c r="G78" s="111"/>
      <c r="H78" s="111"/>
      <c r="I78" s="111"/>
      <c r="J78" s="111"/>
      <c r="K78" s="111"/>
      <c r="L78" s="111"/>
      <c r="M78" s="111"/>
    </row>
    <row r="79" spans="1:17" s="110" customFormat="1">
      <c r="A79" s="109"/>
    </row>
    <row r="81" spans="1:21" ht="17">
      <c r="A81" s="20" t="s">
        <v>52</v>
      </c>
      <c r="C81" s="4">
        <v>2351496</v>
      </c>
      <c r="D81" s="4">
        <v>2395520</v>
      </c>
      <c r="E81" s="4">
        <v>2408559</v>
      </c>
      <c r="F81" s="4">
        <v>2430305</v>
      </c>
      <c r="G81" s="4">
        <v>2465031</v>
      </c>
      <c r="H81" s="4">
        <v>2497052</v>
      </c>
      <c r="I81" s="4">
        <v>2546595</v>
      </c>
      <c r="J81" s="4">
        <v>2610929</v>
      </c>
      <c r="K81" s="4">
        <v>2648493</v>
      </c>
      <c r="L81" s="4">
        <v>2681878</v>
      </c>
      <c r="M81" s="4">
        <v>2766953</v>
      </c>
      <c r="N81" s="4"/>
      <c r="O81" s="8" t="s">
        <v>380</v>
      </c>
      <c r="P81" s="16" t="s">
        <v>451</v>
      </c>
      <c r="R81" t="s">
        <v>453</v>
      </c>
      <c r="T81" s="74"/>
    </row>
    <row r="82" spans="1:21" ht="34">
      <c r="A82" s="20" t="s">
        <v>299</v>
      </c>
      <c r="C82" s="30">
        <f t="shared" ref="C82:M82" si="31">C25/C81*1000</f>
        <v>1314.106849426918</v>
      </c>
      <c r="D82" s="30">
        <f t="shared" si="31"/>
        <v>1336.4622294950575</v>
      </c>
      <c r="E82" s="30">
        <f t="shared" si="31"/>
        <v>1379.1698687887654</v>
      </c>
      <c r="F82" s="30">
        <f t="shared" si="31"/>
        <v>1384.5665461742456</v>
      </c>
      <c r="G82" s="30">
        <f t="shared" si="31"/>
        <v>1368.1758971793865</v>
      </c>
      <c r="H82" s="30">
        <f t="shared" si="31"/>
        <v>1294.0227115814969</v>
      </c>
      <c r="I82" s="30">
        <f t="shared" si="31"/>
        <v>1295.0983568254865</v>
      </c>
      <c r="J82" s="30">
        <f t="shared" si="31"/>
        <v>1348.2668429513021</v>
      </c>
      <c r="K82" s="30">
        <f t="shared" si="31"/>
        <v>1361.2363710230686</v>
      </c>
      <c r="L82" s="30">
        <f t="shared" si="31"/>
        <v>1300.4118755588433</v>
      </c>
      <c r="M82" s="30">
        <f t="shared" si="31"/>
        <v>1246.2896912235228</v>
      </c>
      <c r="N82" t="s">
        <v>448</v>
      </c>
      <c r="O82" s="81">
        <f>C82-M82</f>
        <v>67.817158203395138</v>
      </c>
      <c r="P82" s="82">
        <f>O83*M81/1000</f>
        <v>476435.32502202853</v>
      </c>
      <c r="Q82" s="16" t="s">
        <v>312</v>
      </c>
      <c r="R82" s="50">
        <f>(C83-M83)/C83</f>
        <v>0.28634988114834958</v>
      </c>
      <c r="S82" s="16"/>
      <c r="T82" s="16" t="s">
        <v>3</v>
      </c>
      <c r="U82" s="16" t="s">
        <v>74</v>
      </c>
    </row>
    <row r="83" spans="1:21" ht="34">
      <c r="A83" s="22" t="s">
        <v>53</v>
      </c>
      <c r="B83" s="1"/>
      <c r="C83" s="29">
        <f t="shared" ref="C83:M83" si="32">C11/C81*1000</f>
        <v>601.31933033269036</v>
      </c>
      <c r="D83" s="29">
        <f t="shared" si="32"/>
        <v>577.77685012022437</v>
      </c>
      <c r="E83" s="29">
        <f t="shared" si="32"/>
        <v>602.21609684462783</v>
      </c>
      <c r="F83" s="29">
        <f t="shared" si="32"/>
        <v>553.3482422988061</v>
      </c>
      <c r="G83" s="29">
        <f t="shared" si="32"/>
        <v>540.48650909461185</v>
      </c>
      <c r="H83" s="29">
        <f t="shared" si="32"/>
        <v>500.23187342514296</v>
      </c>
      <c r="I83" s="29">
        <f t="shared" si="32"/>
        <v>494.19793881634104</v>
      </c>
      <c r="J83" s="29">
        <f t="shared" si="32"/>
        <v>492.61163363691622</v>
      </c>
      <c r="K83" s="29">
        <f t="shared" si="32"/>
        <v>486.3803680055035</v>
      </c>
      <c r="L83" s="29">
        <f t="shared" si="32"/>
        <v>483.29006763171179</v>
      </c>
      <c r="M83" s="29">
        <f t="shared" si="32"/>
        <v>429.13161155971932</v>
      </c>
      <c r="N83" s="30" t="s">
        <v>449</v>
      </c>
      <c r="O83" s="81">
        <f>C83-M83</f>
        <v>172.18771877297104</v>
      </c>
      <c r="P83" s="83">
        <f>'Costs -operating'!AD10/11/'Waste stats'!P82</f>
        <v>8.5805243532307198</v>
      </c>
      <c r="Q83" s="16" t="s">
        <v>316</v>
      </c>
      <c r="R83" s="16">
        <f>('Costs -operating'!L15+'Costs -operating'!L16+'Costs -operating'!L17+'Costs -operating'!L18)/'Waste stats'!P82</f>
        <v>8.3547037571489025</v>
      </c>
      <c r="S83" s="16" t="s">
        <v>318</v>
      </c>
      <c r="T83" s="84">
        <f>P82*(P83-M93)</f>
        <v>-41956066.86440067</v>
      </c>
      <c r="U83" s="85">
        <f>P82*(P83-M96)</f>
        <v>-18766235.501561273</v>
      </c>
    </row>
    <row r="84" spans="1:21" ht="17">
      <c r="A84" s="22" t="s">
        <v>450</v>
      </c>
      <c r="B84" s="1"/>
      <c r="C84" s="121">
        <f>(C82-C83)/C82</f>
        <v>0.54241214814843575</v>
      </c>
      <c r="D84" s="121">
        <f t="shared" ref="D84:M84" si="33">(D82-D83)/D82</f>
        <v>0.56768187130995829</v>
      </c>
      <c r="E84" s="121">
        <f t="shared" si="33"/>
        <v>0.56334885899623455</v>
      </c>
      <c r="F84" s="121">
        <f t="shared" si="33"/>
        <v>0.60034550608796233</v>
      </c>
      <c r="G84" s="121">
        <f t="shared" si="33"/>
        <v>0.60495831697600311</v>
      </c>
      <c r="H84" s="121">
        <f t="shared" si="33"/>
        <v>0.61342883015261618</v>
      </c>
      <c r="I84" s="121">
        <f t="shared" si="33"/>
        <v>0.61840895233030246</v>
      </c>
      <c r="J84" s="121">
        <f t="shared" si="33"/>
        <v>0.63463342867750938</v>
      </c>
      <c r="K84" s="121">
        <f t="shared" si="33"/>
        <v>0.64269220367660829</v>
      </c>
      <c r="L84" s="121">
        <f t="shared" si="33"/>
        <v>0.62835615644926268</v>
      </c>
      <c r="M84" s="121">
        <f t="shared" si="33"/>
        <v>0.65567266215736164</v>
      </c>
      <c r="N84" s="30"/>
      <c r="O84" s="30"/>
      <c r="P84" s="123"/>
      <c r="Q84" s="42" t="s">
        <v>456</v>
      </c>
      <c r="T84" s="40"/>
      <c r="U84" s="41"/>
    </row>
    <row r="85" spans="1:21" ht="51">
      <c r="A85" s="20" t="s">
        <v>331</v>
      </c>
      <c r="C85" s="30">
        <v>600</v>
      </c>
      <c r="D85" s="30">
        <v>570</v>
      </c>
      <c r="E85" s="30">
        <v>560</v>
      </c>
      <c r="F85" s="30">
        <v>550</v>
      </c>
      <c r="G85" s="30">
        <v>530</v>
      </c>
      <c r="H85" s="30">
        <v>490</v>
      </c>
      <c r="I85" s="30">
        <v>490</v>
      </c>
      <c r="J85" s="30">
        <v>490</v>
      </c>
      <c r="K85" s="30">
        <v>480</v>
      </c>
      <c r="L85" s="30">
        <v>480</v>
      </c>
      <c r="M85" s="30">
        <v>450</v>
      </c>
      <c r="N85" s="30">
        <v>450</v>
      </c>
      <c r="Q85" t="s">
        <v>309</v>
      </c>
    </row>
    <row r="86" spans="1:21" ht="51">
      <c r="A86" s="20" t="s">
        <v>300</v>
      </c>
      <c r="C86" s="30">
        <f t="shared" ref="C86:M86" si="34">(C3+C4+C5+C7+C6+C9+C10)/C81*1000</f>
        <v>480.34612859218134</v>
      </c>
      <c r="D86" s="30">
        <f t="shared" si="34"/>
        <v>460.41652751803366</v>
      </c>
      <c r="E86" s="30">
        <f t="shared" si="34"/>
        <v>485.44087979576165</v>
      </c>
      <c r="F86" s="30">
        <f t="shared" si="34"/>
        <v>438.07958260382958</v>
      </c>
      <c r="G86" s="30">
        <f t="shared" si="34"/>
        <v>428.82057061351361</v>
      </c>
      <c r="H86" s="30">
        <f t="shared" si="34"/>
        <v>397.54999094932748</v>
      </c>
      <c r="I86" s="30">
        <f t="shared" si="34"/>
        <v>394.3563856836285</v>
      </c>
      <c r="J86" s="30">
        <f t="shared" si="34"/>
        <v>393.12673764778742</v>
      </c>
      <c r="K86" s="30">
        <f t="shared" si="34"/>
        <v>390.80677200204042</v>
      </c>
      <c r="L86" s="30">
        <f t="shared" si="34"/>
        <v>388.89800356317477</v>
      </c>
      <c r="M86" s="30">
        <f t="shared" si="34"/>
        <v>340.81713711797778</v>
      </c>
      <c r="Q86" t="s">
        <v>307</v>
      </c>
    </row>
    <row r="87" spans="1:21" ht="68">
      <c r="A87" s="20" t="s">
        <v>301</v>
      </c>
      <c r="C87">
        <v>330</v>
      </c>
      <c r="D87">
        <v>300</v>
      </c>
      <c r="E87">
        <v>300</v>
      </c>
      <c r="F87">
        <v>260</v>
      </c>
      <c r="G87">
        <v>250</v>
      </c>
      <c r="H87">
        <v>250</v>
      </c>
      <c r="I87">
        <v>220</v>
      </c>
      <c r="J87">
        <v>250</v>
      </c>
      <c r="K87">
        <v>250</v>
      </c>
      <c r="L87">
        <v>230</v>
      </c>
      <c r="M87">
        <v>210</v>
      </c>
      <c r="Q87" s="42" t="s">
        <v>55</v>
      </c>
    </row>
    <row r="88" spans="1:21" ht="34">
      <c r="A88" s="20" t="s">
        <v>337</v>
      </c>
      <c r="C88" s="3">
        <f t="shared" ref="C88:M88" si="35">(C3+C4+C9)/C81*1000</f>
        <v>350.18856081405198</v>
      </c>
      <c r="D88" s="3">
        <f t="shared" si="35"/>
        <v>307.43972081218271</v>
      </c>
      <c r="E88" s="3">
        <f t="shared" si="35"/>
        <v>295.68509635844504</v>
      </c>
      <c r="F88" s="3">
        <f t="shared" si="35"/>
        <v>251.95397285525888</v>
      </c>
      <c r="G88" s="3">
        <f t="shared" si="35"/>
        <v>228.30747361797884</v>
      </c>
      <c r="H88" s="3">
        <f t="shared" si="35"/>
        <v>229.19867107292922</v>
      </c>
      <c r="I88" s="3">
        <f t="shared" si="35"/>
        <v>256.49543802607013</v>
      </c>
      <c r="J88" s="3">
        <f t="shared" si="35"/>
        <v>250.83217506106064</v>
      </c>
      <c r="K88" s="3">
        <f t="shared" si="35"/>
        <v>253.15415219145376</v>
      </c>
      <c r="L88" s="3">
        <f t="shared" si="35"/>
        <v>259.20754038774322</v>
      </c>
      <c r="M88" s="3">
        <f t="shared" si="35"/>
        <v>235.25372494581583</v>
      </c>
      <c r="Q88" t="s">
        <v>302</v>
      </c>
    </row>
    <row r="91" spans="1:21" ht="17">
      <c r="A91" s="23" t="s">
        <v>144</v>
      </c>
    </row>
    <row r="92" spans="1:21" s="80" customFormat="1" ht="17">
      <c r="A92" s="79" t="s">
        <v>303</v>
      </c>
      <c r="Q92" s="80" t="s">
        <v>304</v>
      </c>
    </row>
    <row r="93" spans="1:21" ht="17">
      <c r="A93" s="20" t="s">
        <v>3</v>
      </c>
      <c r="C93" s="37">
        <f>'Costs -operating'!B11/'Waste stats'!C8</f>
        <v>68.061574588354404</v>
      </c>
      <c r="D93" s="37">
        <f>'Costs -operating'!C11/'Waste stats'!D8</f>
        <v>67.341663732175192</v>
      </c>
      <c r="E93" s="37">
        <f>'Costs -operating'!D11/'Waste stats'!E8</f>
        <v>60.769526416838509</v>
      </c>
      <c r="F93" s="37">
        <f>'Costs -operating'!E11/'Waste stats'!F8</f>
        <v>66.85436463457296</v>
      </c>
      <c r="G93" s="37">
        <f>'Costs -operating'!F11/'Waste stats'!G8</f>
        <v>80.371296229019833</v>
      </c>
      <c r="H93" s="37">
        <f>'Costs -operating'!G11/'Waste stats'!H8</f>
        <v>89.478143696227022</v>
      </c>
      <c r="I93" s="37">
        <f>'Costs -operating'!H11/'Waste stats'!I8</f>
        <v>89.652963941853884</v>
      </c>
      <c r="J93" s="37">
        <f>'Costs -operating'!I11/'Waste stats'!J8</f>
        <v>79.21510463988173</v>
      </c>
      <c r="K93" s="37">
        <f>'Costs -operating'!J11/'Waste stats'!K8</f>
        <v>77.500624195064901</v>
      </c>
      <c r="L93" s="37">
        <f>'Costs -operating'!K11/'Waste stats'!L8</f>
        <v>81.134561600328666</v>
      </c>
      <c r="M93" s="37">
        <f>'Costs -operating'!L11/'Waste stats'!M8</f>
        <v>96.642984588438466</v>
      </c>
      <c r="N93" s="37"/>
      <c r="O93" s="37"/>
      <c r="P93" s="6">
        <f>M93/C93</f>
        <v>1.419934598530056</v>
      </c>
      <c r="Q93" t="s">
        <v>145</v>
      </c>
    </row>
    <row r="94" spans="1:21" ht="34">
      <c r="A94" s="20" t="s">
        <v>305</v>
      </c>
      <c r="C94" s="37"/>
      <c r="D94" s="37"/>
      <c r="E94" s="37"/>
      <c r="F94" s="37"/>
      <c r="G94" s="37"/>
      <c r="H94" s="37"/>
      <c r="I94" s="37"/>
      <c r="J94" s="37"/>
      <c r="K94" s="37">
        <v>80.98</v>
      </c>
      <c r="L94">
        <v>81.13</v>
      </c>
      <c r="M94">
        <v>92.35</v>
      </c>
      <c r="R94" t="s">
        <v>194</v>
      </c>
    </row>
    <row r="95" spans="1:21" ht="34">
      <c r="A95" s="20" t="s">
        <v>388</v>
      </c>
      <c r="C95" s="37"/>
      <c r="D95" s="37"/>
      <c r="E95" s="37">
        <f>('Costs -operating'!D11-'Costs -operating'!D39)/'Waste stats'!E8</f>
        <v>37.039269714854584</v>
      </c>
      <c r="F95" s="37">
        <f>('Costs -operating'!E11-'Costs -operating'!E39)/'Waste stats'!F8</f>
        <v>40.08184537620744</v>
      </c>
      <c r="G95" s="37">
        <f>('Costs -operating'!F11-'Costs -operating'!F39)/'Waste stats'!G8</f>
        <v>59.388407323984595</v>
      </c>
      <c r="H95" s="37">
        <f>('Costs -operating'!G11-'Costs -operating'!G39)/'Waste stats'!H8</f>
        <v>65.67627007589644</v>
      </c>
      <c r="I95" s="37">
        <f>('Costs -operating'!H11-'Costs -operating'!H39)/'Waste stats'!I8</f>
        <v>67.156346359574599</v>
      </c>
      <c r="J95" s="37">
        <f>('Costs -operating'!I11-'Costs -operating'!I39)/'Waste stats'!J8</f>
        <v>57.490425335325007</v>
      </c>
      <c r="K95" s="37">
        <f>('Costs -operating'!J11-'Costs -operating'!J39)/'Waste stats'!K8</f>
        <v>55.439117277561373</v>
      </c>
      <c r="L95" s="37">
        <f>('Costs -operating'!K11-'Costs -operating'!K39)/'Waste stats'!L8</f>
        <v>58.249119092388639</v>
      </c>
      <c r="M95" s="37">
        <f>('Costs -operating'!L11-'Costs -operating'!L39)/'Waste stats'!M8</f>
        <v>73.392479190708869</v>
      </c>
      <c r="N95" s="37"/>
      <c r="O95" s="37"/>
      <c r="P95" s="37" t="s">
        <v>389</v>
      </c>
      <c r="Q95" s="9" t="s">
        <v>152</v>
      </c>
      <c r="T95" s="9" t="s">
        <v>452</v>
      </c>
      <c r="U95" t="s">
        <v>193</v>
      </c>
    </row>
    <row r="96" spans="1:21" ht="17">
      <c r="A96" s="20" t="s">
        <v>74</v>
      </c>
      <c r="C96" s="37">
        <f>'Costs -operating'!B8/('Waste stats'!C3+'Waste stats'!C4+'Waste stats'!C5+'Waste stats'!C9)</f>
        <v>33.246979623543226</v>
      </c>
      <c r="D96" s="37">
        <f>'Costs -operating'!C8/('Waste stats'!D3+'Waste stats'!D4+'Waste stats'!D5+'Waste stats'!D9)</f>
        <v>28.824482087427757</v>
      </c>
      <c r="E96" s="37">
        <f>'Costs -operating'!D8/('Waste stats'!E3+'Waste stats'!E4+'Waste stats'!E5+'Waste stats'!E9)</f>
        <v>30.805251745976566</v>
      </c>
      <c r="F96" s="37">
        <f>'Costs -operating'!E8/('Waste stats'!F3+'Waste stats'!F4+'Waste stats'!F5+'Waste stats'!F9)</f>
        <v>27.582134137174908</v>
      </c>
      <c r="G96" s="37">
        <f>'Costs -operating'!F8/('Waste stats'!G3+'Waste stats'!G4+'Waste stats'!G5+'Waste stats'!G9)</f>
        <v>28.530819288402977</v>
      </c>
      <c r="H96" s="37">
        <f>'Costs -operating'!G8/('Waste stats'!H3+'Waste stats'!H4+'Waste stats'!H5+'Waste stats'!H9)</f>
        <v>25.162747984174967</v>
      </c>
      <c r="I96" s="37">
        <f>'Costs -operating'!H8/('Waste stats'!I3+'Waste stats'!I4+'Waste stats'!I5+'Waste stats'!I9)</f>
        <v>25.321805179955351</v>
      </c>
      <c r="J96" s="37">
        <f>'Costs -operating'!I8/('Waste stats'!J3+'Waste stats'!J4+'Waste stats'!J5+'Waste stats'!J9)</f>
        <v>48.106369446314261</v>
      </c>
      <c r="K96" s="37">
        <f>'Costs -operating'!J8/('Waste stats'!K3+'Waste stats'!K4+'Waste stats'!K5+'Waste stats'!K9)</f>
        <v>62.973825184245982</v>
      </c>
      <c r="L96" s="37">
        <f>'Costs -operating'!K8/('Waste stats'!L3+'Waste stats'!L4+'Waste stats'!L5+'Waste stats'!L9)</f>
        <v>84.299417855173786</v>
      </c>
      <c r="M96" s="37">
        <f>'Costs -operating'!L8/('Waste stats'!M3+'Waste stats'!M4+'Waste stats'!M5+'Waste stats'!M9)</f>
        <v>47.969365851693489</v>
      </c>
      <c r="P96" s="6">
        <f>M96/C96</f>
        <v>1.4428187581203582</v>
      </c>
      <c r="Q96" s="47"/>
    </row>
    <row r="100" spans="1:13" s="64" customFormat="1" ht="17">
      <c r="A100" s="104" t="s">
        <v>360</v>
      </c>
      <c r="B100" s="105" t="s">
        <v>405</v>
      </c>
    </row>
    <row r="101" spans="1:13" ht="17">
      <c r="A101" s="20" t="s">
        <v>346</v>
      </c>
      <c r="B101" t="s">
        <v>406</v>
      </c>
      <c r="C101" s="4">
        <f t="shared" ref="C101:M101" si="36">C51</f>
        <v>71136</v>
      </c>
      <c r="D101" s="4">
        <f t="shared" si="36"/>
        <v>73482</v>
      </c>
      <c r="E101" s="4">
        <f t="shared" si="36"/>
        <v>116597</v>
      </c>
      <c r="F101" s="4">
        <f t="shared" si="36"/>
        <v>112788</v>
      </c>
      <c r="G101" s="4">
        <f t="shared" si="36"/>
        <v>107221</v>
      </c>
      <c r="H101" s="4">
        <f t="shared" si="36"/>
        <v>110508</v>
      </c>
      <c r="I101" s="4">
        <f t="shared" si="36"/>
        <v>116422</v>
      </c>
      <c r="J101" s="4">
        <f t="shared" si="36"/>
        <v>116989</v>
      </c>
      <c r="K101" s="4">
        <f t="shared" si="36"/>
        <v>127099</v>
      </c>
      <c r="L101" s="4">
        <f t="shared" si="36"/>
        <v>119661</v>
      </c>
      <c r="M101" s="4">
        <f t="shared" si="36"/>
        <v>142647</v>
      </c>
    </row>
    <row r="102" spans="1:13">
      <c r="B102" t="s">
        <v>361</v>
      </c>
      <c r="C102" s="73">
        <f t="shared" ref="C102:M102" si="37">C35</f>
        <v>505198</v>
      </c>
      <c r="D102" s="73">
        <f t="shared" si="37"/>
        <v>500881</v>
      </c>
      <c r="E102" s="73">
        <f t="shared" si="37"/>
        <v>600292</v>
      </c>
      <c r="F102" s="73">
        <f t="shared" si="37"/>
        <v>637885</v>
      </c>
      <c r="G102" s="73">
        <f t="shared" si="37"/>
        <v>537110</v>
      </c>
      <c r="H102" s="73">
        <f t="shared" si="37"/>
        <v>558731</v>
      </c>
      <c r="I102" s="73">
        <f t="shared" si="37"/>
        <v>624053</v>
      </c>
      <c r="J102" s="73">
        <f t="shared" si="37"/>
        <v>611562</v>
      </c>
      <c r="K102" s="73">
        <f t="shared" si="37"/>
        <v>587633</v>
      </c>
      <c r="L102" s="73">
        <f t="shared" si="37"/>
        <v>621378</v>
      </c>
      <c r="M102" s="73">
        <f t="shared" si="37"/>
        <v>544558</v>
      </c>
    </row>
    <row r="103" spans="1:13">
      <c r="B103" s="45" t="s">
        <v>347</v>
      </c>
      <c r="C103" s="89">
        <f>C102*0.2777777778</f>
        <v>140332.77778900441</v>
      </c>
      <c r="D103" s="89">
        <f t="shared" ref="D103:M103" si="38">D102*0.2777777778</f>
        <v>139133.6111222418</v>
      </c>
      <c r="E103" s="89">
        <f t="shared" si="38"/>
        <v>166747.77779111761</v>
      </c>
      <c r="F103" s="89">
        <f t="shared" si="38"/>
        <v>177190.27779195301</v>
      </c>
      <c r="G103" s="89">
        <f t="shared" si="38"/>
        <v>149197.22223415802</v>
      </c>
      <c r="H103" s="89">
        <f t="shared" si="38"/>
        <v>155203.05556797181</v>
      </c>
      <c r="I103" s="89">
        <f t="shared" si="38"/>
        <v>173348.05556942342</v>
      </c>
      <c r="J103" s="89">
        <f t="shared" si="38"/>
        <v>169878.33334692361</v>
      </c>
      <c r="K103" s="89">
        <f t="shared" si="38"/>
        <v>163231.38890194742</v>
      </c>
      <c r="L103" s="89">
        <f t="shared" si="38"/>
        <v>172605.0000138084</v>
      </c>
      <c r="M103" s="89">
        <f t="shared" si="38"/>
        <v>151266.11112321241</v>
      </c>
    </row>
    <row r="104" spans="1:13">
      <c r="B104" t="s">
        <v>363</v>
      </c>
      <c r="C104" s="90">
        <v>685054</v>
      </c>
      <c r="D104" s="90">
        <v>623798</v>
      </c>
      <c r="E104" s="90">
        <v>0</v>
      </c>
      <c r="F104" s="90">
        <v>0</v>
      </c>
      <c r="G104" s="90">
        <v>0</v>
      </c>
      <c r="H104" s="90">
        <v>0</v>
      </c>
      <c r="I104" s="90">
        <v>0</v>
      </c>
      <c r="J104" s="90">
        <v>0</v>
      </c>
      <c r="K104" s="90">
        <v>0</v>
      </c>
      <c r="L104" s="90">
        <v>0</v>
      </c>
      <c r="M104" s="90">
        <v>0</v>
      </c>
    </row>
    <row r="105" spans="1:13">
      <c r="B105" s="45" t="s">
        <v>348</v>
      </c>
      <c r="C105" s="106">
        <f>C104*0.2777777778</f>
        <v>190292.77779300121</v>
      </c>
      <c r="D105" s="106">
        <f t="shared" ref="D105:M105" si="39">D104*0.2777777778</f>
        <v>173277.2222360844</v>
      </c>
      <c r="E105" s="106">
        <f t="shared" si="39"/>
        <v>0</v>
      </c>
      <c r="F105" s="106">
        <f t="shared" si="39"/>
        <v>0</v>
      </c>
      <c r="G105" s="106">
        <f t="shared" si="39"/>
        <v>0</v>
      </c>
      <c r="H105" s="106">
        <f t="shared" si="39"/>
        <v>0</v>
      </c>
      <c r="I105" s="106">
        <f t="shared" si="39"/>
        <v>0</v>
      </c>
      <c r="J105" s="106">
        <f t="shared" si="39"/>
        <v>0</v>
      </c>
      <c r="K105" s="106">
        <f t="shared" si="39"/>
        <v>0</v>
      </c>
      <c r="L105" s="106">
        <f t="shared" si="39"/>
        <v>0</v>
      </c>
      <c r="M105" s="106">
        <f t="shared" si="39"/>
        <v>0</v>
      </c>
    </row>
    <row r="106" spans="1:13">
      <c r="B106" t="s">
        <v>364</v>
      </c>
      <c r="C106" s="90">
        <f>C102+C104</f>
        <v>1190252</v>
      </c>
      <c r="D106" s="90">
        <f t="shared" ref="D106:M107" si="40">D102+D104</f>
        <v>1124679</v>
      </c>
      <c r="E106" s="90">
        <f t="shared" si="40"/>
        <v>600292</v>
      </c>
      <c r="F106" s="90">
        <f t="shared" si="40"/>
        <v>637885</v>
      </c>
      <c r="G106" s="90">
        <f t="shared" si="40"/>
        <v>537110</v>
      </c>
      <c r="H106" s="90">
        <f t="shared" si="40"/>
        <v>558731</v>
      </c>
      <c r="I106" s="90">
        <f t="shared" si="40"/>
        <v>624053</v>
      </c>
      <c r="J106" s="90">
        <f t="shared" si="40"/>
        <v>611562</v>
      </c>
      <c r="K106" s="90">
        <f t="shared" si="40"/>
        <v>587633</v>
      </c>
      <c r="L106" s="90">
        <f t="shared" si="40"/>
        <v>621378</v>
      </c>
      <c r="M106" s="90">
        <f t="shared" si="40"/>
        <v>544558</v>
      </c>
    </row>
    <row r="107" spans="1:13">
      <c r="B107" s="45" t="s">
        <v>349</v>
      </c>
      <c r="C107" s="106">
        <f>C103+C105</f>
        <v>330625.55558200565</v>
      </c>
      <c r="D107" s="106">
        <f t="shared" si="40"/>
        <v>312410.83335832623</v>
      </c>
      <c r="E107" s="106">
        <f t="shared" si="40"/>
        <v>166747.77779111761</v>
      </c>
      <c r="F107" s="106">
        <f t="shared" si="40"/>
        <v>177190.27779195301</v>
      </c>
      <c r="G107" s="106">
        <f t="shared" si="40"/>
        <v>149197.22223415802</v>
      </c>
      <c r="H107" s="106">
        <f t="shared" si="40"/>
        <v>155203.05556797181</v>
      </c>
      <c r="I107" s="106">
        <f t="shared" si="40"/>
        <v>173348.05556942342</v>
      </c>
      <c r="J107" s="106">
        <f t="shared" si="40"/>
        <v>169878.33334692361</v>
      </c>
      <c r="K107" s="106">
        <f t="shared" si="40"/>
        <v>163231.38890194742</v>
      </c>
      <c r="L107" s="106">
        <f t="shared" si="40"/>
        <v>172605.0000138084</v>
      </c>
      <c r="M107" s="106">
        <f t="shared" si="40"/>
        <v>151266.11112321241</v>
      </c>
    </row>
    <row r="108" spans="1:13">
      <c r="B108" t="s">
        <v>350</v>
      </c>
      <c r="C108" s="107">
        <f>C101/C106</f>
        <v>5.9765495038025564E-2</v>
      </c>
      <c r="D108" s="107">
        <f t="shared" ref="D108:M108" si="41">D101/D106</f>
        <v>6.5335975865113513E-2</v>
      </c>
      <c r="E108" s="107">
        <f t="shared" si="41"/>
        <v>0.19423380621430902</v>
      </c>
      <c r="F108" s="107">
        <f t="shared" si="41"/>
        <v>0.17681557020466071</v>
      </c>
      <c r="G108" s="107">
        <f t="shared" si="41"/>
        <v>0.19962577498091638</v>
      </c>
      <c r="H108" s="107">
        <f t="shared" si="41"/>
        <v>0.19778390674582222</v>
      </c>
      <c r="I108" s="107">
        <f t="shared" si="41"/>
        <v>0.18655787248839442</v>
      </c>
      <c r="J108" s="107">
        <f t="shared" si="41"/>
        <v>0.19129540422720837</v>
      </c>
      <c r="K108" s="107">
        <f t="shared" si="41"/>
        <v>0.21628975908432643</v>
      </c>
      <c r="L108" s="107">
        <f t="shared" si="41"/>
        <v>0.1925736025414482</v>
      </c>
      <c r="M108" s="107">
        <f t="shared" si="41"/>
        <v>0.26195005857961873</v>
      </c>
    </row>
    <row r="109" spans="1:13" ht="17" customHeight="1">
      <c r="B109" s="45" t="s">
        <v>351</v>
      </c>
      <c r="C109" s="45">
        <f t="shared" ref="C109:M109" si="42">C101/C107</f>
        <v>0.21515578211967953</v>
      </c>
      <c r="D109" s="45">
        <f t="shared" si="42"/>
        <v>0.23520951309559185</v>
      </c>
      <c r="E109" s="45">
        <f t="shared" si="42"/>
        <v>0.69924170231557314</v>
      </c>
      <c r="F109" s="45">
        <f t="shared" si="42"/>
        <v>0.63653605268585567</v>
      </c>
      <c r="G109" s="45">
        <f t="shared" si="42"/>
        <v>0.71865278987380665</v>
      </c>
      <c r="H109" s="45">
        <f t="shared" si="42"/>
        <v>0.71202206422799819</v>
      </c>
      <c r="I109" s="45">
        <f t="shared" si="42"/>
        <v>0.67160834090449117</v>
      </c>
      <c r="J109" s="45">
        <f t="shared" si="42"/>
        <v>0.68866345516285699</v>
      </c>
      <c r="K109" s="45">
        <f t="shared" si="42"/>
        <v>0.77864313264128371</v>
      </c>
      <c r="L109" s="45">
        <f t="shared" si="42"/>
        <v>0.69326496909375235</v>
      </c>
      <c r="M109" s="45">
        <f t="shared" si="42"/>
        <v>0.94302021081118559</v>
      </c>
    </row>
    <row r="110" spans="1:13">
      <c r="B110" t="s">
        <v>352</v>
      </c>
      <c r="C110" s="3">
        <f>C109*1000</f>
        <v>215.15578211967954</v>
      </c>
      <c r="D110" s="3">
        <f t="shared" ref="D110:K110" si="43">D109*1000</f>
        <v>235.20951309559186</v>
      </c>
      <c r="E110" s="3">
        <f t="shared" si="43"/>
        <v>699.24170231557309</v>
      </c>
      <c r="F110" s="3">
        <f t="shared" si="43"/>
        <v>636.53605268585568</v>
      </c>
      <c r="G110" s="3">
        <f t="shared" si="43"/>
        <v>718.65278987380668</v>
      </c>
      <c r="H110" s="3">
        <f t="shared" si="43"/>
        <v>712.02206422799816</v>
      </c>
      <c r="I110" s="3">
        <f t="shared" si="43"/>
        <v>671.60834090449123</v>
      </c>
      <c r="J110" s="3">
        <f t="shared" si="43"/>
        <v>688.66345516285696</v>
      </c>
      <c r="K110" s="3">
        <f t="shared" si="43"/>
        <v>778.64313264128373</v>
      </c>
      <c r="L110" s="3">
        <f t="shared" ref="L110:M110" si="44">L109*1000</f>
        <v>693.26496909375237</v>
      </c>
      <c r="M110" s="3">
        <f t="shared" si="44"/>
        <v>943.02021081118562</v>
      </c>
    </row>
    <row r="111" spans="1:13">
      <c r="B111" t="s">
        <v>362</v>
      </c>
      <c r="C111" s="90">
        <f t="shared" ref="C111:M111" si="45">C38</f>
        <v>1096398</v>
      </c>
      <c r="D111" s="90">
        <f t="shared" si="45"/>
        <v>1038353</v>
      </c>
      <c r="E111" s="90">
        <f t="shared" si="45"/>
        <v>509460</v>
      </c>
      <c r="F111" s="90">
        <f t="shared" si="45"/>
        <v>547324</v>
      </c>
      <c r="G111" s="90">
        <f t="shared" si="45"/>
        <v>448269</v>
      </c>
      <c r="H111" s="90">
        <f t="shared" si="45"/>
        <v>461502</v>
      </c>
      <c r="I111" s="90">
        <f t="shared" si="45"/>
        <v>528805</v>
      </c>
      <c r="J111" s="90">
        <f t="shared" si="45"/>
        <v>514620</v>
      </c>
      <c r="K111" s="90">
        <f t="shared" si="45"/>
        <v>471829</v>
      </c>
      <c r="L111" s="90">
        <f t="shared" si="45"/>
        <v>504973</v>
      </c>
      <c r="M111" s="90">
        <f t="shared" si="45"/>
        <v>400334</v>
      </c>
    </row>
    <row r="112" spans="1:13">
      <c r="B112" s="45" t="s">
        <v>365</v>
      </c>
      <c r="C112" s="106">
        <f>C111/3.6</f>
        <v>304555</v>
      </c>
      <c r="D112" s="106">
        <f t="shared" ref="D112:M112" si="46">D111/3.6</f>
        <v>288431.38888888888</v>
      </c>
      <c r="E112" s="106">
        <f t="shared" si="46"/>
        <v>141516.66666666666</v>
      </c>
      <c r="F112" s="106">
        <f t="shared" si="46"/>
        <v>152034.44444444444</v>
      </c>
      <c r="G112" s="106">
        <f t="shared" si="46"/>
        <v>124519.16666666666</v>
      </c>
      <c r="H112" s="106">
        <f t="shared" si="46"/>
        <v>128195</v>
      </c>
      <c r="I112" s="106">
        <f t="shared" si="46"/>
        <v>146890.27777777778</v>
      </c>
      <c r="J112" s="106">
        <f t="shared" si="46"/>
        <v>142950</v>
      </c>
      <c r="K112" s="106">
        <f t="shared" si="46"/>
        <v>131063.61111111111</v>
      </c>
      <c r="L112" s="106">
        <f t="shared" si="46"/>
        <v>140270.27777777778</v>
      </c>
      <c r="M112" s="106">
        <f t="shared" si="46"/>
        <v>111203.88888888889</v>
      </c>
    </row>
    <row r="113" spans="1:17">
      <c r="B113" s="45" t="s">
        <v>366</v>
      </c>
      <c r="C113" s="45">
        <f>C101/C112</f>
        <v>0.23357357455960334</v>
      </c>
      <c r="D113" s="45">
        <f t="shared" ref="D113:M113" si="47">D101/D112</f>
        <v>0.25476422757963813</v>
      </c>
      <c r="E113" s="45">
        <f t="shared" si="47"/>
        <v>0.82391002237663413</v>
      </c>
      <c r="F113" s="45">
        <f t="shared" si="47"/>
        <v>0.7418582046466079</v>
      </c>
      <c r="G113" s="45">
        <f t="shared" si="47"/>
        <v>0.86108028884442156</v>
      </c>
      <c r="H113" s="45">
        <f t="shared" si="47"/>
        <v>0.86203050040953233</v>
      </c>
      <c r="I113" s="45">
        <f t="shared" si="47"/>
        <v>0.79257798243208744</v>
      </c>
      <c r="J113" s="45">
        <f t="shared" si="47"/>
        <v>0.81839104582021682</v>
      </c>
      <c r="K113" s="45">
        <f t="shared" si="47"/>
        <v>0.96975048163635558</v>
      </c>
      <c r="L113" s="45">
        <f t="shared" si="47"/>
        <v>0.85307452081596435</v>
      </c>
      <c r="M113" s="45">
        <f t="shared" si="47"/>
        <v>1.2827519021616949</v>
      </c>
    </row>
    <row r="114" spans="1:17" ht="17" customHeight="1">
      <c r="B114" t="s">
        <v>367</v>
      </c>
      <c r="C114" s="3">
        <f>C113*1000</f>
        <v>233.57357455960334</v>
      </c>
      <c r="D114" s="3">
        <f t="shared" ref="D114:M114" si="48">D113*1000</f>
        <v>254.76422757963812</v>
      </c>
      <c r="E114" s="3">
        <f t="shared" si="48"/>
        <v>823.91002237663417</v>
      </c>
      <c r="F114" s="3">
        <f t="shared" si="48"/>
        <v>741.85820464660787</v>
      </c>
      <c r="G114" s="3">
        <f t="shared" si="48"/>
        <v>861.0802888444216</v>
      </c>
      <c r="H114" s="3">
        <f t="shared" si="48"/>
        <v>862.03050040953235</v>
      </c>
      <c r="I114" s="3">
        <f t="shared" si="48"/>
        <v>792.57798243208742</v>
      </c>
      <c r="J114" s="3">
        <f t="shared" si="48"/>
        <v>818.39104582021685</v>
      </c>
      <c r="K114" s="3">
        <f t="shared" si="48"/>
        <v>969.75048163635563</v>
      </c>
      <c r="L114" s="3">
        <f t="shared" si="48"/>
        <v>853.07452081596432</v>
      </c>
      <c r="M114" s="3">
        <f t="shared" si="48"/>
        <v>1282.7519021616949</v>
      </c>
    </row>
    <row r="115" spans="1:17" ht="17" customHeight="1">
      <c r="C115" s="3"/>
      <c r="D115" s="3"/>
      <c r="E115" s="3"/>
      <c r="F115" s="3"/>
      <c r="G115" s="3"/>
      <c r="H115" s="3"/>
      <c r="I115" s="3"/>
      <c r="J115" s="3"/>
      <c r="K115" s="3"/>
      <c r="L115" s="3"/>
      <c r="M115" s="3"/>
    </row>
    <row r="116" spans="1:17" ht="51">
      <c r="A116" s="20" t="s">
        <v>368</v>
      </c>
      <c r="C116" s="3"/>
      <c r="D116" s="3"/>
      <c r="E116" s="3"/>
      <c r="F116" s="3"/>
      <c r="G116" s="3"/>
      <c r="H116" s="3"/>
      <c r="I116" s="3"/>
      <c r="J116" s="3"/>
      <c r="K116" s="3"/>
    </row>
    <row r="117" spans="1:17" ht="17">
      <c r="A117" s="20" t="s">
        <v>353</v>
      </c>
      <c r="B117" s="9" t="s">
        <v>354</v>
      </c>
      <c r="C117" s="108">
        <f>(C36/C37)*C101/C105</f>
        <v>0.21515578211967956</v>
      </c>
      <c r="D117" s="45">
        <f>(D45/D46)*D101/D105</f>
        <v>26.648162656442654</v>
      </c>
    </row>
    <row r="118" spans="1:17" ht="17">
      <c r="A118" s="20" t="s">
        <v>355</v>
      </c>
      <c r="B118" s="9" t="s">
        <v>354</v>
      </c>
      <c r="C118" s="108">
        <f>(E51-D51)/D105</f>
        <v>0.24882093239731912</v>
      </c>
    </row>
    <row r="119" spans="1:17">
      <c r="B119" t="s">
        <v>356</v>
      </c>
      <c r="C119" s="102">
        <v>4.9869999999999998E-2</v>
      </c>
      <c r="Q119" s="122" t="s">
        <v>455</v>
      </c>
    </row>
    <row r="120" spans="1:17">
      <c r="B120" t="s">
        <v>357</v>
      </c>
      <c r="C120" s="102">
        <v>5.9799999999999999E-2</v>
      </c>
    </row>
    <row r="121" spans="1:17">
      <c r="B121" s="45" t="s">
        <v>358</v>
      </c>
      <c r="C121" s="108">
        <f>C119*0.2777777778</f>
        <v>1.3852777778885999E-2</v>
      </c>
    </row>
    <row r="122" spans="1:17">
      <c r="B122" s="45" t="s">
        <v>359</v>
      </c>
      <c r="C122" s="108">
        <f>C120*0.2777777778</f>
        <v>1.661111111244E-2</v>
      </c>
    </row>
    <row r="124" spans="1:17">
      <c r="C124" s="74"/>
    </row>
    <row r="125" spans="1:17">
      <c r="B125" t="s">
        <v>369</v>
      </c>
      <c r="E125" s="30">
        <f>E101-D101</f>
        <v>43115</v>
      </c>
    </row>
  </sheetData>
  <mergeCells count="4">
    <mergeCell ref="A31:A33"/>
    <mergeCell ref="A35:A38"/>
    <mergeCell ref="A45:A47"/>
    <mergeCell ref="A40:A4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C2B76-5237-8B4C-B2E4-4DA34C68A562}">
  <dimension ref="A1:P18"/>
  <sheetViews>
    <sheetView workbookViewId="0">
      <selection sqref="A1:XFD1048576"/>
    </sheetView>
  </sheetViews>
  <sheetFormatPr baseColWidth="10" defaultRowHeight="16"/>
  <cols>
    <col min="9" max="12" width="15" bestFit="1" customWidth="1"/>
    <col min="13" max="13" width="13" customWidth="1"/>
    <col min="14" max="14" width="14" customWidth="1"/>
  </cols>
  <sheetData>
    <row r="1" spans="1:16">
      <c r="A1" t="s">
        <v>73</v>
      </c>
      <c r="D1" t="s">
        <v>284</v>
      </c>
      <c r="L1" t="s">
        <v>467</v>
      </c>
    </row>
    <row r="2" spans="1:16" s="1" customFormat="1">
      <c r="B2" s="1">
        <v>2010</v>
      </c>
      <c r="C2" s="1">
        <v>2011</v>
      </c>
      <c r="D2" s="1">
        <v>2012</v>
      </c>
      <c r="E2" s="1">
        <v>2013</v>
      </c>
      <c r="F2" s="1">
        <v>2014</v>
      </c>
      <c r="G2" s="1">
        <v>2015</v>
      </c>
      <c r="H2" s="1">
        <v>2016</v>
      </c>
      <c r="I2" s="1">
        <v>2017</v>
      </c>
      <c r="J2" s="1">
        <v>2018</v>
      </c>
      <c r="K2" s="1">
        <v>2019</v>
      </c>
      <c r="L2" s="1">
        <v>2020</v>
      </c>
      <c r="M2" s="1">
        <v>2021</v>
      </c>
      <c r="N2" s="1">
        <v>2022</v>
      </c>
      <c r="P2" s="1" t="s">
        <v>51</v>
      </c>
    </row>
    <row r="3" spans="1:16">
      <c r="A3" t="s">
        <v>3</v>
      </c>
      <c r="B3" s="38"/>
      <c r="C3" s="38"/>
      <c r="D3" s="38"/>
      <c r="E3" s="38"/>
      <c r="F3" s="38"/>
      <c r="G3" s="38"/>
      <c r="H3" s="38"/>
      <c r="I3" s="38"/>
      <c r="J3" s="38"/>
      <c r="K3" s="38"/>
      <c r="L3" s="38">
        <f>'Costs -operating'!L11</f>
        <v>23615873</v>
      </c>
      <c r="M3" s="38">
        <f>'Costs -operating'!M11</f>
        <v>24220370</v>
      </c>
      <c r="N3" s="38">
        <f>'Costs -operating'!N11</f>
        <v>24897642</v>
      </c>
      <c r="P3" t="s">
        <v>468</v>
      </c>
    </row>
    <row r="4" spans="1:16">
      <c r="A4" t="s">
        <v>75</v>
      </c>
      <c r="B4" s="38"/>
      <c r="C4" s="38"/>
      <c r="D4" s="38"/>
      <c r="E4" s="38"/>
      <c r="F4" s="38"/>
      <c r="G4" s="38"/>
      <c r="H4" s="38"/>
      <c r="I4" s="38">
        <v>20575965</v>
      </c>
      <c r="J4" s="38">
        <v>19617423</v>
      </c>
      <c r="K4" s="38">
        <v>20539052</v>
      </c>
      <c r="L4" s="38">
        <v>22565658</v>
      </c>
      <c r="M4" s="38">
        <v>22310451</v>
      </c>
      <c r="N4" s="38">
        <v>23449793</v>
      </c>
      <c r="P4" t="s">
        <v>469</v>
      </c>
    </row>
    <row r="5" spans="1:16">
      <c r="A5" t="s">
        <v>232</v>
      </c>
      <c r="I5" s="41">
        <f>I4/'Waste stats'!J8</f>
        <v>79.21510463988173</v>
      </c>
      <c r="J5" s="41">
        <f>J4/'Waste stats'!K8</f>
        <v>77.500624195064901</v>
      </c>
      <c r="K5" s="41">
        <f>K4/'Waste stats'!L8</f>
        <v>81.134561600328666</v>
      </c>
      <c r="L5" s="41">
        <f>L3/'Waste stats'!M8</f>
        <v>96.642984588438466</v>
      </c>
      <c r="M5" s="41"/>
      <c r="N5" s="41"/>
    </row>
    <row r="6" spans="1:16">
      <c r="A6" t="s">
        <v>470</v>
      </c>
      <c r="L6">
        <v>92.35</v>
      </c>
      <c r="M6">
        <v>92.37</v>
      </c>
      <c r="N6">
        <v>100.62</v>
      </c>
      <c r="P6" t="s">
        <v>469</v>
      </c>
    </row>
    <row r="7" spans="1:16">
      <c r="A7" t="s">
        <v>76</v>
      </c>
    </row>
    <row r="8" spans="1:16">
      <c r="A8" t="s">
        <v>77</v>
      </c>
      <c r="I8" s="38">
        <v>1368291</v>
      </c>
      <c r="J8" s="38">
        <v>1385142</v>
      </c>
      <c r="K8" s="38">
        <v>1453703</v>
      </c>
      <c r="L8" s="38">
        <v>1256519</v>
      </c>
      <c r="M8" s="38">
        <v>1465739</v>
      </c>
      <c r="N8" s="38">
        <v>1455891</v>
      </c>
    </row>
    <row r="9" spans="1:16">
      <c r="A9" t="s">
        <v>78</v>
      </c>
      <c r="I9" s="38">
        <v>1211348</v>
      </c>
      <c r="J9" s="38">
        <v>257461</v>
      </c>
      <c r="K9" s="38">
        <v>559382</v>
      </c>
      <c r="L9" s="38">
        <v>2016633</v>
      </c>
      <c r="M9" s="38">
        <v>1560862</v>
      </c>
      <c r="N9" s="38">
        <v>1767871</v>
      </c>
      <c r="P9" t="s">
        <v>79</v>
      </c>
    </row>
    <row r="12" spans="1:16">
      <c r="A12" s="1" t="s">
        <v>80</v>
      </c>
    </row>
    <row r="13" spans="1:16">
      <c r="A13" t="s">
        <v>81</v>
      </c>
      <c r="I13" s="40">
        <v>5642942</v>
      </c>
      <c r="J13" s="40">
        <v>5584341</v>
      </c>
      <c r="K13" s="40">
        <v>5793404</v>
      </c>
      <c r="L13" s="40">
        <v>5308843</v>
      </c>
      <c r="M13" s="40">
        <v>5778816</v>
      </c>
      <c r="N13" s="40">
        <v>5705028</v>
      </c>
      <c r="P13" t="s">
        <v>85</v>
      </c>
    </row>
    <row r="14" spans="1:16">
      <c r="A14" t="s">
        <v>82</v>
      </c>
      <c r="I14" s="40">
        <v>140325</v>
      </c>
      <c r="J14" s="40">
        <v>22.82</v>
      </c>
      <c r="K14" s="40">
        <v>199889</v>
      </c>
      <c r="L14" s="40">
        <v>191800</v>
      </c>
      <c r="M14" s="40">
        <v>436187</v>
      </c>
      <c r="N14" s="40">
        <v>360428</v>
      </c>
    </row>
    <row r="15" spans="1:16">
      <c r="A15" t="s">
        <v>83</v>
      </c>
      <c r="I15" s="41">
        <v>22.26</v>
      </c>
      <c r="J15" s="41">
        <v>22.82</v>
      </c>
      <c r="K15" s="41">
        <v>23.68</v>
      </c>
      <c r="L15" s="41">
        <v>22.51</v>
      </c>
      <c r="M15" s="41">
        <v>25.73</v>
      </c>
      <c r="N15" s="41">
        <v>26.03</v>
      </c>
    </row>
    <row r="17" spans="1:14">
      <c r="A17" t="s">
        <v>84</v>
      </c>
      <c r="I17" s="41">
        <f>I5-I15</f>
        <v>56.955104639881725</v>
      </c>
      <c r="J17" s="41">
        <f t="shared" ref="J17:L17" si="0">J5-J15</f>
        <v>54.680624195064901</v>
      </c>
      <c r="K17" s="41">
        <f t="shared" si="0"/>
        <v>57.454561600328667</v>
      </c>
      <c r="L17" s="41">
        <f t="shared" si="0"/>
        <v>74.132984588438461</v>
      </c>
      <c r="M17" s="41">
        <f>M6-M15</f>
        <v>66.64</v>
      </c>
      <c r="N17" s="41">
        <f>N6-N15</f>
        <v>74.59</v>
      </c>
    </row>
    <row r="18" spans="1:14">
      <c r="K18" s="4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AF56-73E0-0345-9507-82DB93998368}">
  <dimension ref="A2:B15"/>
  <sheetViews>
    <sheetView workbookViewId="0">
      <selection activeCell="C9" sqref="C9"/>
    </sheetView>
  </sheetViews>
  <sheetFormatPr baseColWidth="10" defaultRowHeight="16"/>
  <cols>
    <col min="1" max="1" width="18.5" customWidth="1"/>
  </cols>
  <sheetData>
    <row r="2" spans="1:2" ht="34">
      <c r="A2" s="22" t="s">
        <v>190</v>
      </c>
      <c r="B2" t="s">
        <v>191</v>
      </c>
    </row>
    <row r="3" spans="1:2">
      <c r="A3" s="58" t="s">
        <v>162</v>
      </c>
      <c r="B3" s="56">
        <f>1391911.6/84524</f>
        <v>16.467649425015381</v>
      </c>
    </row>
    <row r="4" spans="1:2">
      <c r="A4" s="58" t="s">
        <v>165</v>
      </c>
      <c r="B4" s="56">
        <f>1650399/44855</f>
        <v>36.794092074462156</v>
      </c>
    </row>
    <row r="5" spans="1:2">
      <c r="A5" s="58" t="s">
        <v>166</v>
      </c>
      <c r="B5" s="56">
        <f>(80235+276922)/(7499+67542)</f>
        <v>4.7594914779920314</v>
      </c>
    </row>
    <row r="6" spans="1:2">
      <c r="A6" s="58" t="s">
        <v>169</v>
      </c>
      <c r="B6" s="56">
        <f>(435037+50445+380+71057+63397)/(25441+2727+22+2809+3409)</f>
        <v>18.028249244361778</v>
      </c>
    </row>
    <row r="7" spans="1:2">
      <c r="A7" s="58" t="s">
        <v>171</v>
      </c>
      <c r="B7" s="56">
        <f>8551/12216</f>
        <v>0.69998362802881464</v>
      </c>
    </row>
    <row r="8" spans="1:2">
      <c r="A8" s="58" t="s">
        <v>172</v>
      </c>
      <c r="B8" s="56">
        <f>960/4799</f>
        <v>0.20004167534903106</v>
      </c>
    </row>
    <row r="9" spans="1:2">
      <c r="A9" s="58" t="s">
        <v>192</v>
      </c>
      <c r="B9" s="56">
        <f>25768/12052</f>
        <v>2.1380683703949552</v>
      </c>
    </row>
    <row r="10" spans="1:2">
      <c r="A10" s="58"/>
      <c r="B10" s="56"/>
    </row>
    <row r="11" spans="1:2">
      <c r="A11" s="58"/>
      <c r="B11" s="56"/>
    </row>
    <row r="12" spans="1:2">
      <c r="A12" s="58"/>
      <c r="B12" s="56"/>
    </row>
    <row r="13" spans="1:2">
      <c r="A13" s="58"/>
      <c r="B13" s="56"/>
    </row>
    <row r="14" spans="1:2">
      <c r="A14" s="58"/>
      <c r="B14" s="56"/>
    </row>
    <row r="15" spans="1:2">
      <c r="A15" s="59" t="s">
        <v>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9235-FEFF-B040-AC5D-118F13747C9D}">
  <dimension ref="A2:C12"/>
  <sheetViews>
    <sheetView workbookViewId="0">
      <selection activeCell="B11" sqref="B11"/>
    </sheetView>
  </sheetViews>
  <sheetFormatPr baseColWidth="10" defaultRowHeight="16"/>
  <cols>
    <col min="2" max="2" width="11.5" bestFit="1" customWidth="1"/>
  </cols>
  <sheetData>
    <row r="2" spans="1:3">
      <c r="A2" t="s">
        <v>215</v>
      </c>
      <c r="B2" s="8">
        <v>2022</v>
      </c>
    </row>
    <row r="3" spans="1:3" s="8" customFormat="1">
      <c r="B3" s="8" t="s">
        <v>216</v>
      </c>
      <c r="C3" s="8" t="s">
        <v>217</v>
      </c>
    </row>
    <row r="4" spans="1:3">
      <c r="A4" t="s">
        <v>211</v>
      </c>
      <c r="B4" s="4">
        <v>153266</v>
      </c>
      <c r="C4" s="6">
        <f>B4/$B$8</f>
        <v>0.17353546264310227</v>
      </c>
    </row>
    <row r="5" spans="1:3">
      <c r="A5" t="s">
        <v>212</v>
      </c>
      <c r="B5" s="4">
        <v>237019</v>
      </c>
      <c r="C5" s="6">
        <f t="shared" ref="C5:C7" si="0">B5/$B$8</f>
        <v>0.26836481555077746</v>
      </c>
    </row>
    <row r="6" spans="1:3">
      <c r="A6" t="s">
        <v>213</v>
      </c>
      <c r="B6" s="4">
        <v>366542</v>
      </c>
      <c r="C6" s="6">
        <f t="shared" si="0"/>
        <v>0.41501726115464616</v>
      </c>
    </row>
    <row r="7" spans="1:3">
      <c r="A7" t="s">
        <v>214</v>
      </c>
      <c r="B7" s="4">
        <v>126370</v>
      </c>
      <c r="C7" s="6">
        <f t="shared" si="0"/>
        <v>0.14308246065147412</v>
      </c>
    </row>
    <row r="8" spans="1:3">
      <c r="A8" t="s">
        <v>47</v>
      </c>
      <c r="B8" s="30">
        <f>SUM(B4:B7)</f>
        <v>883197</v>
      </c>
    </row>
    <row r="9" spans="1:3">
      <c r="A9" t="s">
        <v>218</v>
      </c>
    </row>
    <row r="12" spans="1:3">
      <c r="A12" t="s">
        <v>219</v>
      </c>
      <c r="B12">
        <f>1093+1554+482+677</f>
        <v>3806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EEA5-232F-A844-8ABB-91550507E829}">
  <dimension ref="A1:C11"/>
  <sheetViews>
    <sheetView workbookViewId="0">
      <selection activeCell="C3" sqref="C3"/>
    </sheetView>
  </sheetViews>
  <sheetFormatPr baseColWidth="10" defaultRowHeight="16"/>
  <cols>
    <col min="1" max="1" width="21.5" customWidth="1"/>
    <col min="3" max="3" width="11.6640625" bestFit="1" customWidth="1"/>
  </cols>
  <sheetData>
    <row r="1" spans="1:3">
      <c r="A1" t="s">
        <v>397</v>
      </c>
      <c r="B1" t="s">
        <v>398</v>
      </c>
    </row>
    <row r="2" spans="1:3">
      <c r="A2">
        <v>2020</v>
      </c>
      <c r="B2" t="s">
        <v>400</v>
      </c>
      <c r="C2" t="s">
        <v>403</v>
      </c>
    </row>
    <row r="3" spans="1:3">
      <c r="A3" t="s">
        <v>407</v>
      </c>
      <c r="B3" s="3">
        <f>C3*1000</f>
        <v>783.99786178540921</v>
      </c>
      <c r="C3" s="114">
        <f>'Waste stats'!M60/'Waste stats'!M38</f>
        <v>0.7839978617854092</v>
      </c>
    </row>
    <row r="4" spans="1:3">
      <c r="A4" t="s">
        <v>404</v>
      </c>
      <c r="B4" s="3">
        <f>'Waste stats'!M108*1000</f>
        <v>261.95005857961871</v>
      </c>
      <c r="C4" s="114">
        <f>'Waste stats'!M108</f>
        <v>0.26195005857961873</v>
      </c>
    </row>
    <row r="5" spans="1:3">
      <c r="A5" t="s">
        <v>402</v>
      </c>
      <c r="B5">
        <v>222</v>
      </c>
      <c r="C5">
        <f>B5/1000</f>
        <v>0.222</v>
      </c>
    </row>
    <row r="6" spans="1:3">
      <c r="A6" t="s">
        <v>399</v>
      </c>
      <c r="B6" s="3">
        <v>49.87</v>
      </c>
      <c r="C6" s="114">
        <f>B6/1000</f>
        <v>4.9869999999999998E-2</v>
      </c>
    </row>
    <row r="7" spans="1:3">
      <c r="A7" t="s">
        <v>401</v>
      </c>
      <c r="B7">
        <v>3</v>
      </c>
      <c r="C7">
        <f t="shared" ref="C7" si="0">B7/1000</f>
        <v>3.0000000000000001E-3</v>
      </c>
    </row>
    <row r="10" spans="1:3">
      <c r="B10" s="3"/>
      <c r="C10" s="114"/>
    </row>
    <row r="11" spans="1:3">
      <c r="B11" s="3"/>
      <c r="C11" s="1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BA2F-AE56-F641-8C59-C799DEFDDF20}">
  <dimension ref="A1:E29"/>
  <sheetViews>
    <sheetView workbookViewId="0">
      <selection activeCell="D1" sqref="D1"/>
    </sheetView>
  </sheetViews>
  <sheetFormatPr baseColWidth="10" defaultRowHeight="16"/>
  <cols>
    <col min="1" max="1" width="60.5" customWidth="1"/>
    <col min="2" max="2" width="18" customWidth="1"/>
    <col min="3" max="3" width="21" customWidth="1"/>
  </cols>
  <sheetData>
    <row r="1" spans="1:4">
      <c r="A1" s="1" t="s">
        <v>408</v>
      </c>
      <c r="B1" t="s">
        <v>409</v>
      </c>
      <c r="C1" t="s">
        <v>410</v>
      </c>
      <c r="D1" t="s">
        <v>8</v>
      </c>
    </row>
    <row r="2" spans="1:4">
      <c r="A2" t="s">
        <v>411</v>
      </c>
      <c r="B2">
        <v>30</v>
      </c>
      <c r="C2">
        <v>30</v>
      </c>
      <c r="D2">
        <v>30</v>
      </c>
    </row>
    <row r="3" spans="1:4">
      <c r="A3" t="s">
        <v>412</v>
      </c>
      <c r="B3">
        <v>650936</v>
      </c>
      <c r="C3">
        <v>336227</v>
      </c>
      <c r="D3">
        <f>SUM(B3:C3)</f>
        <v>987163</v>
      </c>
    </row>
    <row r="4" spans="1:4">
      <c r="A4" t="s">
        <v>413</v>
      </c>
      <c r="B4" t="s">
        <v>414</v>
      </c>
    </row>
    <row r="5" spans="1:4">
      <c r="A5" s="1" t="s">
        <v>415</v>
      </c>
    </row>
    <row r="6" spans="1:4">
      <c r="A6" t="s">
        <v>416</v>
      </c>
      <c r="B6">
        <v>11232401</v>
      </c>
      <c r="C6" s="3">
        <v>2237393</v>
      </c>
      <c r="D6">
        <f>SUM(B6:C6)</f>
        <v>13469794</v>
      </c>
    </row>
    <row r="7" spans="1:4">
      <c r="A7" t="s">
        <v>417</v>
      </c>
      <c r="B7">
        <v>28</v>
      </c>
      <c r="C7">
        <v>28</v>
      </c>
    </row>
    <row r="8" spans="1:4">
      <c r="A8" t="s">
        <v>418</v>
      </c>
      <c r="B8" s="3">
        <f>B6/B7</f>
        <v>401157.17857142858</v>
      </c>
      <c r="C8" s="3">
        <f>C6/C7</f>
        <v>79906.892857142855</v>
      </c>
      <c r="D8" s="3">
        <f>SUM(B8:C8)</f>
        <v>481064.07142857142</v>
      </c>
    </row>
    <row r="9" spans="1:4">
      <c r="A9" t="s">
        <v>419</v>
      </c>
      <c r="B9">
        <v>1.4</v>
      </c>
      <c r="C9">
        <v>1.4</v>
      </c>
    </row>
    <row r="10" spans="1:4">
      <c r="A10" t="s">
        <v>420</v>
      </c>
      <c r="B10" s="6">
        <f>1.4/2.4</f>
        <v>0.58333333333333337</v>
      </c>
      <c r="C10" s="6">
        <f>1.4/2.4</f>
        <v>0.58333333333333337</v>
      </c>
      <c r="D10" s="6"/>
    </row>
    <row r="11" spans="1:4">
      <c r="A11" t="s">
        <v>421</v>
      </c>
      <c r="B11" s="6">
        <f>1-B10</f>
        <v>0.41666666666666663</v>
      </c>
      <c r="C11" s="6">
        <f>1-C10</f>
        <v>0.41666666666666663</v>
      </c>
      <c r="D11" s="6"/>
    </row>
    <row r="12" spans="1:4">
      <c r="A12" t="s">
        <v>422</v>
      </c>
      <c r="B12">
        <v>44</v>
      </c>
      <c r="C12">
        <v>44</v>
      </c>
    </row>
    <row r="13" spans="1:4">
      <c r="A13" t="s">
        <v>423</v>
      </c>
      <c r="B13">
        <v>16</v>
      </c>
      <c r="C13">
        <v>16</v>
      </c>
    </row>
    <row r="14" spans="1:4">
      <c r="A14" t="s">
        <v>424</v>
      </c>
      <c r="B14" s="3">
        <f>B8*B12/(B13*B9)</f>
        <v>787987.31505102047</v>
      </c>
      <c r="C14" s="3">
        <f>C8*C12/(C13*C9)</f>
        <v>156959.96811224488</v>
      </c>
      <c r="D14" s="3">
        <f>SUM(B14:C14)</f>
        <v>944947.28316326533</v>
      </c>
    </row>
    <row r="16" spans="1:4">
      <c r="A16" s="1" t="s">
        <v>425</v>
      </c>
    </row>
    <row r="17" spans="1:5">
      <c r="A17" t="s">
        <v>426</v>
      </c>
      <c r="B17" s="6">
        <v>0.75</v>
      </c>
      <c r="C17" s="6">
        <v>0.3</v>
      </c>
    </row>
    <row r="18" spans="1:5">
      <c r="A18" t="s">
        <v>427</v>
      </c>
      <c r="B18" s="3">
        <f>B8*(1-B17)</f>
        <v>100289.29464285714</v>
      </c>
      <c r="C18" s="3">
        <f>C8*(1-C17)</f>
        <v>55934.824999999997</v>
      </c>
      <c r="D18" s="3">
        <f>SUM(B18:C18)</f>
        <v>156224.11964285714</v>
      </c>
    </row>
    <row r="19" spans="1:5">
      <c r="A19" t="s">
        <v>428</v>
      </c>
      <c r="B19" s="6">
        <v>0.1</v>
      </c>
      <c r="C19" s="6">
        <v>0.1</v>
      </c>
    </row>
    <row r="20" spans="1:5">
      <c r="A20" t="s">
        <v>429</v>
      </c>
      <c r="B20" s="3">
        <f>B19*B18</f>
        <v>10028.929464285715</v>
      </c>
      <c r="C20" s="3">
        <f>C19*C18</f>
        <v>5593.4825000000001</v>
      </c>
      <c r="D20" s="3">
        <f>SUM(B20:C20)</f>
        <v>15622.411964285715</v>
      </c>
    </row>
    <row r="22" spans="1:5">
      <c r="A22" s="1" t="s">
        <v>430</v>
      </c>
    </row>
    <row r="23" spans="1:5">
      <c r="A23" t="s">
        <v>431</v>
      </c>
      <c r="B23" s="3">
        <f>B17*B8</f>
        <v>300867.88392857142</v>
      </c>
      <c r="C23" s="3">
        <f>C17*C8</f>
        <v>23972.067857142854</v>
      </c>
      <c r="D23" s="3">
        <f>SUM(B23:C23)</f>
        <v>324839.95178571425</v>
      </c>
    </row>
    <row r="24" spans="1:5">
      <c r="A24" t="s">
        <v>432</v>
      </c>
      <c r="B24" s="3">
        <f>B23*B12/B13</f>
        <v>827386.68080357136</v>
      </c>
      <c r="C24" s="3">
        <f>C23*C12/C13</f>
        <v>65923.186607142852</v>
      </c>
      <c r="D24" s="3">
        <f>SUM(B24:C24)</f>
        <v>893309.86741071427</v>
      </c>
    </row>
    <row r="25" spans="1:5">
      <c r="B25" s="3"/>
      <c r="C25" s="3"/>
    </row>
    <row r="26" spans="1:5">
      <c r="A26" s="1" t="s">
        <v>433</v>
      </c>
    </row>
    <row r="27" spans="1:5">
      <c r="A27" t="s">
        <v>434</v>
      </c>
      <c r="B27" s="3">
        <f>SUM(B14,B20,B24)</f>
        <v>1625402.9253188777</v>
      </c>
      <c r="C27" s="3">
        <f>SUM(C14,C20,C24)</f>
        <v>228476.63721938775</v>
      </c>
      <c r="D27" s="3">
        <f>SUM(B27:C27)</f>
        <v>1853879.5625382655</v>
      </c>
    </row>
    <row r="28" spans="1:5">
      <c r="A28" t="s">
        <v>435</v>
      </c>
      <c r="B28" s="3">
        <f>B27/B2</f>
        <v>54180.097510629254</v>
      </c>
      <c r="C28" s="3">
        <f>C27/C2</f>
        <v>7615.8879073129247</v>
      </c>
      <c r="D28" s="3">
        <f>SUM(B28:C28)</f>
        <v>61795.985417942182</v>
      </c>
      <c r="E28" t="s">
        <v>438</v>
      </c>
    </row>
    <row r="29" spans="1:5">
      <c r="A29" t="s">
        <v>436</v>
      </c>
      <c r="B29" s="115">
        <f>B28/B3</f>
        <v>8.3234139010024411E-2</v>
      </c>
      <c r="C29" s="115">
        <f>C28/C3</f>
        <v>2.2651030129385578E-2</v>
      </c>
      <c r="D29" s="115">
        <f>D28/D3</f>
        <v>6.2599576177330571E-2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0345E-5D07-634A-8F95-72F8BA61CF6D}">
  <dimension ref="A1:N43"/>
  <sheetViews>
    <sheetView workbookViewId="0">
      <selection activeCell="G39" sqref="G39"/>
    </sheetView>
  </sheetViews>
  <sheetFormatPr baseColWidth="10" defaultRowHeight="16"/>
  <cols>
    <col min="1" max="1" width="27.83203125" customWidth="1"/>
    <col min="2" max="3" width="13.5" bestFit="1" customWidth="1"/>
    <col min="4" max="4" width="11.5" bestFit="1" customWidth="1"/>
  </cols>
  <sheetData>
    <row r="1" spans="1:12" ht="17" thickBot="1">
      <c r="A1" t="s">
        <v>381</v>
      </c>
      <c r="B1" s="2">
        <v>2010</v>
      </c>
      <c r="C1" s="2">
        <v>2011</v>
      </c>
      <c r="D1" s="2">
        <v>2012</v>
      </c>
      <c r="E1" s="2">
        <v>2013</v>
      </c>
      <c r="F1" s="2">
        <v>2014</v>
      </c>
      <c r="G1" s="2">
        <v>2015</v>
      </c>
      <c r="H1" s="2">
        <v>2016</v>
      </c>
      <c r="I1" s="2">
        <v>2017</v>
      </c>
      <c r="J1" s="2">
        <v>2018</v>
      </c>
      <c r="K1" s="2">
        <v>2019</v>
      </c>
      <c r="L1" s="2">
        <v>2020</v>
      </c>
    </row>
    <row r="2" spans="1:12" ht="17" thickTop="1">
      <c r="A2" t="str">
        <f>'Waste stats'!B8</f>
        <v>WTE</v>
      </c>
      <c r="B2">
        <f>'Waste stats'!C8</f>
        <v>284468</v>
      </c>
      <c r="C2">
        <f>'Waste stats'!D8</f>
        <v>281139</v>
      </c>
      <c r="D2">
        <f>'Waste stats'!E8</f>
        <v>281260</v>
      </c>
      <c r="E2">
        <f>'Waste stats'!F8</f>
        <v>280138</v>
      </c>
      <c r="F2">
        <f>'Waste stats'!G8</f>
        <v>275260</v>
      </c>
      <c r="G2">
        <f>'Waste stats'!H8</f>
        <v>256402</v>
      </c>
      <c r="H2">
        <f>'Waste stats'!I8</f>
        <v>254256</v>
      </c>
      <c r="I2">
        <f>'Waste stats'!J8</f>
        <v>259748</v>
      </c>
      <c r="J2">
        <f>'Waste stats'!K8</f>
        <v>253126</v>
      </c>
      <c r="K2">
        <f>'Waste stats'!L8</f>
        <v>253148</v>
      </c>
      <c r="L2">
        <f>'Waste stats'!M8</f>
        <v>244362</v>
      </c>
    </row>
    <row r="3" spans="1:12">
      <c r="A3" t="s">
        <v>379</v>
      </c>
      <c r="B3">
        <f>'Waste stats'!C13</f>
        <v>1129532</v>
      </c>
      <c r="C3">
        <f>'Waste stats'!D13</f>
        <v>1102937</v>
      </c>
      <c r="D3">
        <f>'Waste stats'!E13</f>
        <v>1169213</v>
      </c>
      <c r="E3">
        <f>'Waste stats'!F13</f>
        <v>1064667</v>
      </c>
      <c r="F3">
        <f>'Waste stats'!G13</f>
        <v>1057056</v>
      </c>
      <c r="G3">
        <f>'Waste stats'!H13</f>
        <v>992703</v>
      </c>
      <c r="H3">
        <f>'Waste stats'!I13</f>
        <v>1004266</v>
      </c>
      <c r="I3">
        <f>'Waste stats'!J13</f>
        <v>1026426</v>
      </c>
      <c r="J3">
        <f>'Waste stats'!K13</f>
        <v>1035049</v>
      </c>
      <c r="K3">
        <f>'Waste stats'!L13</f>
        <v>1042977</v>
      </c>
      <c r="L3">
        <f>'Waste stats'!M13</f>
        <v>943025</v>
      </c>
    </row>
    <row r="4" spans="1:12">
      <c r="A4" t="str">
        <f>'Waste stats'!B11</f>
        <v>Total</v>
      </c>
      <c r="B4">
        <f>'Waste stats'!C11</f>
        <v>1414000</v>
      </c>
      <c r="C4">
        <f>'Waste stats'!D11</f>
        <v>1384076</v>
      </c>
      <c r="D4">
        <f>'Waste stats'!E11</f>
        <v>1450473</v>
      </c>
      <c r="E4">
        <f>'Waste stats'!F11</f>
        <v>1344805</v>
      </c>
      <c r="F4">
        <f>'Waste stats'!G11</f>
        <v>1332316</v>
      </c>
      <c r="G4">
        <f>'Waste stats'!H11</f>
        <v>1249105</v>
      </c>
      <c r="H4">
        <f>'Waste stats'!I11</f>
        <v>1258522</v>
      </c>
      <c r="I4">
        <f>'Waste stats'!J11</f>
        <v>1286174</v>
      </c>
      <c r="J4">
        <f>'Waste stats'!K11</f>
        <v>1288175</v>
      </c>
      <c r="K4">
        <f>'Waste stats'!L11</f>
        <v>1296125</v>
      </c>
      <c r="L4">
        <f>'Waste stats'!M11</f>
        <v>1187387</v>
      </c>
    </row>
    <row r="17" spans="1:14" ht="17" thickBot="1">
      <c r="A17" t="s">
        <v>382</v>
      </c>
      <c r="B17" s="2">
        <v>2010</v>
      </c>
      <c r="C17" s="2">
        <v>2011</v>
      </c>
      <c r="D17" s="2">
        <v>2012</v>
      </c>
      <c r="E17" s="2">
        <v>2013</v>
      </c>
      <c r="F17" s="2">
        <v>2014</v>
      </c>
      <c r="G17" s="2">
        <v>2015</v>
      </c>
      <c r="H17" s="2">
        <v>2016</v>
      </c>
      <c r="I17" s="2">
        <v>2017</v>
      </c>
      <c r="J17" s="2">
        <v>2018</v>
      </c>
      <c r="K17" s="2">
        <v>2019</v>
      </c>
      <c r="L17" s="2">
        <v>2020</v>
      </c>
      <c r="M17" s="2"/>
      <c r="N17" s="2"/>
    </row>
    <row r="18" spans="1:14" ht="17" thickTop="1">
      <c r="A18" t="s">
        <v>3</v>
      </c>
      <c r="B18" s="41">
        <f>'Waste stats'!C93</f>
        <v>68.061574588354404</v>
      </c>
      <c r="C18" s="41">
        <f>'Waste stats'!D93</f>
        <v>67.341663732175192</v>
      </c>
      <c r="D18" s="41">
        <f>'Waste stats'!E93</f>
        <v>60.769526416838509</v>
      </c>
      <c r="E18" s="41">
        <f>'Waste stats'!F93</f>
        <v>66.85436463457296</v>
      </c>
      <c r="F18" s="41">
        <f>'Waste stats'!G93</f>
        <v>80.371296229019833</v>
      </c>
      <c r="G18" s="41">
        <f>'Waste stats'!H93</f>
        <v>89.478143696227022</v>
      </c>
      <c r="H18" s="41">
        <f>'Waste stats'!I93</f>
        <v>89.652963941853884</v>
      </c>
      <c r="I18" s="41">
        <f>'Waste stats'!J93</f>
        <v>79.21510463988173</v>
      </c>
      <c r="J18" s="41">
        <f>'Waste stats'!K93</f>
        <v>77.500624195064901</v>
      </c>
      <c r="K18" s="41">
        <f>'Waste stats'!L93</f>
        <v>81.134561600328666</v>
      </c>
      <c r="L18" s="41">
        <f>'Waste stats'!M93</f>
        <v>96.642984588438466</v>
      </c>
      <c r="M18" s="41"/>
      <c r="N18" s="41"/>
    </row>
    <row r="19" spans="1:14">
      <c r="A19" t="s">
        <v>383</v>
      </c>
      <c r="B19" s="41">
        <f>'Waste stats'!C95</f>
        <v>0</v>
      </c>
      <c r="C19" s="41">
        <f>'Waste stats'!D95</f>
        <v>0</v>
      </c>
      <c r="D19" s="41">
        <f>'Waste stats'!E95</f>
        <v>37.039269714854584</v>
      </c>
      <c r="E19" s="41">
        <f>'Waste stats'!F95</f>
        <v>40.08184537620744</v>
      </c>
      <c r="F19" s="41">
        <f>'Waste stats'!G95</f>
        <v>59.388407323984595</v>
      </c>
      <c r="G19" s="41">
        <f>'Waste stats'!H95</f>
        <v>65.67627007589644</v>
      </c>
      <c r="H19" s="41">
        <f>'Waste stats'!I95</f>
        <v>67.156346359574599</v>
      </c>
      <c r="I19" s="41">
        <f>'Waste stats'!J95</f>
        <v>57.490425335325007</v>
      </c>
      <c r="J19" s="41">
        <f>'Waste stats'!K95</f>
        <v>55.439117277561373</v>
      </c>
      <c r="K19" s="41">
        <f>'Waste stats'!L95</f>
        <v>58.249119092388639</v>
      </c>
      <c r="L19" s="41">
        <f>'Waste stats'!M95</f>
        <v>73.392479190708869</v>
      </c>
      <c r="M19" s="41"/>
      <c r="N19" s="41"/>
    </row>
    <row r="20" spans="1:14">
      <c r="A20" t="s">
        <v>74</v>
      </c>
      <c r="B20" s="41">
        <f>'Waste stats'!C96</f>
        <v>33.246979623543226</v>
      </c>
      <c r="C20" s="41">
        <f>'Waste stats'!D96</f>
        <v>28.824482087427757</v>
      </c>
      <c r="D20" s="41">
        <f>'Waste stats'!E96</f>
        <v>30.805251745976566</v>
      </c>
      <c r="E20" s="41">
        <f>'Waste stats'!F96</f>
        <v>27.582134137174908</v>
      </c>
      <c r="F20" s="41">
        <f>'Waste stats'!G96</f>
        <v>28.530819288402977</v>
      </c>
      <c r="G20" s="41">
        <f>'Waste stats'!H96</f>
        <v>25.162747984174967</v>
      </c>
      <c r="H20" s="41">
        <f>'Waste stats'!I96</f>
        <v>25.321805179955351</v>
      </c>
      <c r="I20" s="41">
        <f>'Waste stats'!J96</f>
        <v>48.106369446314261</v>
      </c>
      <c r="J20" s="41">
        <f>'Waste stats'!K96</f>
        <v>62.973825184245982</v>
      </c>
      <c r="K20" s="41">
        <f>'Waste stats'!L96</f>
        <v>84.299417855173786</v>
      </c>
      <c r="L20" s="41">
        <f>'Waste stats'!M96</f>
        <v>47.969365851693489</v>
      </c>
      <c r="M20" s="41"/>
      <c r="N20" s="41"/>
    </row>
    <row r="39" spans="1:5">
      <c r="A39" t="s">
        <v>391</v>
      </c>
      <c r="B39" t="s">
        <v>3</v>
      </c>
      <c r="C39" t="s">
        <v>2</v>
      </c>
      <c r="D39" t="s">
        <v>394</v>
      </c>
    </row>
    <row r="40" spans="1:5">
      <c r="A40" t="s">
        <v>393</v>
      </c>
      <c r="B40" s="6">
        <f>'Waste stats'!M8/'Waste stats'!M11</f>
        <v>0.20579810963064274</v>
      </c>
      <c r="C40" s="6">
        <f>('Waste stats'!M4+'Waste stats'!M5)/'Waste stats'!M11</f>
        <v>0.55561834515621278</v>
      </c>
      <c r="D40" s="6">
        <f>('Waste stats'!M9)/'Waste stats'!M11</f>
        <v>2.9762832168450555E-2</v>
      </c>
    </row>
    <row r="41" spans="1:5">
      <c r="A41" t="s">
        <v>395</v>
      </c>
      <c r="B41" s="6">
        <f>B43/'Waste stats'!$M$64</f>
        <v>0.63653159730672504</v>
      </c>
      <c r="C41" s="6">
        <f>C43/'Waste stats'!$M$64</f>
        <v>0.35752616208323196</v>
      </c>
      <c r="D41" s="6">
        <f>D43/'Waste stats'!$M$64</f>
        <v>5.942240610042995E-3</v>
      </c>
    </row>
    <row r="42" spans="1:5">
      <c r="A42" t="s">
        <v>396</v>
      </c>
      <c r="B42" s="6">
        <f>'Waste stats'!M51/'Waste stats'!M57</f>
        <v>0.44318753767095626</v>
      </c>
      <c r="C42" s="6">
        <f>'Waste stats'!M54/'Waste stats'!M57</f>
        <v>0.53261605761403819</v>
      </c>
      <c r="D42" s="113">
        <f>('Waste stats'!M55+'Waste stats'!M56)/'Waste stats'!M57</f>
        <v>9.1031671565185504E-3</v>
      </c>
    </row>
    <row r="43" spans="1:5">
      <c r="A43" t="s">
        <v>392</v>
      </c>
      <c r="B43" s="4">
        <f>'Waste stats'!M60</f>
        <v>313861</v>
      </c>
      <c r="C43" s="4">
        <f>'Waste stats'!M53+'Waste stats'!M54</f>
        <v>176289</v>
      </c>
      <c r="D43" s="4">
        <f>'Waste stats'!M55+'Waste stats'!M56</f>
        <v>2930</v>
      </c>
      <c r="E43" s="3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12607-B3BE-7F44-B7C4-DE750DC9D76D}">
  <sheetPr>
    <tabColor theme="8" tint="0.79998168889431442"/>
  </sheetPr>
  <dimension ref="A1:G106"/>
  <sheetViews>
    <sheetView topLeftCell="A57" workbookViewId="0">
      <selection activeCell="G34" sqref="G34"/>
    </sheetView>
  </sheetViews>
  <sheetFormatPr baseColWidth="10" defaultRowHeight="16"/>
  <cols>
    <col min="1" max="1" width="20.6640625" style="93" customWidth="1"/>
    <col min="2" max="2" width="32" customWidth="1"/>
    <col min="3" max="3" width="18.33203125" style="32" bestFit="1" customWidth="1"/>
    <col min="5" max="5" width="12.1640625" bestFit="1" customWidth="1"/>
    <col min="7" max="7" width="11.1640625" bestFit="1" customWidth="1"/>
  </cols>
  <sheetData>
    <row r="1" spans="1:6">
      <c r="B1" s="8" t="s">
        <v>227</v>
      </c>
      <c r="C1" s="69" t="s">
        <v>474</v>
      </c>
      <c r="D1" s="110"/>
    </row>
    <row r="2" spans="1:6" s="12" customFormat="1">
      <c r="A2" s="94"/>
      <c r="B2" s="12" t="s">
        <v>3</v>
      </c>
      <c r="C2" s="34"/>
      <c r="F2" t="s">
        <v>373</v>
      </c>
    </row>
    <row r="3" spans="1:6">
      <c r="A3" s="93" t="s">
        <v>270</v>
      </c>
      <c r="B3" t="s">
        <v>266</v>
      </c>
      <c r="C3" s="69">
        <v>75300000</v>
      </c>
      <c r="D3" s="110" t="s">
        <v>375</v>
      </c>
      <c r="E3" s="48" t="s">
        <v>327</v>
      </c>
    </row>
    <row r="4" spans="1:6">
      <c r="A4" s="93" t="s">
        <v>270</v>
      </c>
      <c r="B4" t="s">
        <v>267</v>
      </c>
      <c r="C4" s="69">
        <v>2300000</v>
      </c>
      <c r="D4" s="110"/>
    </row>
    <row r="5" spans="1:6" ht="17" customHeight="1">
      <c r="A5" s="93">
        <v>2015</v>
      </c>
      <c r="B5" t="s">
        <v>129</v>
      </c>
      <c r="C5" s="32">
        <v>210000</v>
      </c>
      <c r="D5" s="32"/>
      <c r="E5" s="32"/>
    </row>
    <row r="6" spans="1:6" s="1" customFormat="1" ht="17" customHeight="1">
      <c r="A6" s="98" t="s">
        <v>268</v>
      </c>
      <c r="C6" s="33">
        <f>SUM(C3:C5)</f>
        <v>77810000</v>
      </c>
      <c r="D6" s="33"/>
      <c r="E6" s="33"/>
    </row>
    <row r="8" spans="1:6">
      <c r="A8" s="93" t="s">
        <v>261</v>
      </c>
      <c r="B8" t="s">
        <v>239</v>
      </c>
      <c r="C8" s="69">
        <v>300000</v>
      </c>
      <c r="D8" s="110"/>
    </row>
    <row r="9" spans="1:6" ht="17">
      <c r="A9" s="93" t="s">
        <v>271</v>
      </c>
      <c r="B9" s="67" t="s">
        <v>240</v>
      </c>
      <c r="C9" s="69">
        <v>3000000</v>
      </c>
      <c r="D9" s="110"/>
    </row>
    <row r="10" spans="1:6" ht="17">
      <c r="A10" s="93" t="s">
        <v>261</v>
      </c>
      <c r="B10" s="67" t="s">
        <v>241</v>
      </c>
      <c r="C10" s="69">
        <v>5000000</v>
      </c>
      <c r="D10" s="110"/>
    </row>
    <row r="11" spans="1:6" ht="18" customHeight="1">
      <c r="A11" s="93" t="s">
        <v>261</v>
      </c>
      <c r="B11" s="67" t="s">
        <v>252</v>
      </c>
      <c r="C11" s="69">
        <v>3000000</v>
      </c>
      <c r="D11" s="110"/>
    </row>
    <row r="12" spans="1:6" ht="34">
      <c r="A12" s="93" t="s">
        <v>261</v>
      </c>
      <c r="B12" s="67" t="s">
        <v>256</v>
      </c>
      <c r="C12" s="69">
        <v>2150000</v>
      </c>
      <c r="D12" s="110"/>
    </row>
    <row r="13" spans="1:6" ht="17">
      <c r="A13" s="93" t="s">
        <v>261</v>
      </c>
      <c r="B13" s="67" t="s">
        <v>253</v>
      </c>
      <c r="C13" s="69">
        <v>1400000</v>
      </c>
      <c r="D13" s="110"/>
    </row>
    <row r="14" spans="1:6" ht="17">
      <c r="A14" s="93" t="s">
        <v>261</v>
      </c>
      <c r="B14" s="67" t="s">
        <v>254</v>
      </c>
      <c r="C14" s="69">
        <v>1500000</v>
      </c>
      <c r="D14" s="110"/>
    </row>
    <row r="15" spans="1:6" ht="17">
      <c r="A15" s="93" t="s">
        <v>261</v>
      </c>
      <c r="B15" s="67" t="s">
        <v>257</v>
      </c>
      <c r="C15" s="69">
        <v>4000000</v>
      </c>
      <c r="D15" s="110"/>
    </row>
    <row r="16" spans="1:6" ht="35" customHeight="1">
      <c r="A16" s="93" t="s">
        <v>261</v>
      </c>
      <c r="B16" s="67" t="s">
        <v>258</v>
      </c>
      <c r="C16" s="69">
        <v>2000000</v>
      </c>
      <c r="D16" s="110"/>
    </row>
    <row r="17" spans="1:7" ht="35" customHeight="1">
      <c r="A17" s="93" t="s">
        <v>261</v>
      </c>
      <c r="B17" s="67" t="s">
        <v>259</v>
      </c>
      <c r="C17" s="69">
        <v>1500000</v>
      </c>
      <c r="D17" s="110"/>
      <c r="E17" t="s">
        <v>377</v>
      </c>
    </row>
    <row r="18" spans="1:7" ht="35" customHeight="1">
      <c r="A18" s="93" t="s">
        <v>261</v>
      </c>
      <c r="B18" s="67" t="s">
        <v>260</v>
      </c>
      <c r="C18" s="69">
        <v>1000000</v>
      </c>
      <c r="D18" s="110"/>
      <c r="G18">
        <f>248.1-155.25</f>
        <v>92.85</v>
      </c>
    </row>
    <row r="19" spans="1:7" ht="17">
      <c r="A19" s="93" t="s">
        <v>261</v>
      </c>
      <c r="B19" s="67" t="s">
        <v>263</v>
      </c>
      <c r="C19" s="69">
        <v>300000</v>
      </c>
      <c r="D19" s="110"/>
    </row>
    <row r="20" spans="1:7" ht="34">
      <c r="A20" s="93" t="s">
        <v>261</v>
      </c>
      <c r="B20" s="67" t="s">
        <v>264</v>
      </c>
      <c r="C20" s="69">
        <v>10000000</v>
      </c>
      <c r="D20" s="110"/>
    </row>
    <row r="21" spans="1:7">
      <c r="A21" s="93" t="s">
        <v>270</v>
      </c>
      <c r="B21" t="s">
        <v>56</v>
      </c>
      <c r="C21" s="69">
        <v>50250000</v>
      </c>
      <c r="D21" s="110"/>
      <c r="E21" t="s">
        <v>475</v>
      </c>
    </row>
    <row r="22" spans="1:7">
      <c r="A22" s="93" t="s">
        <v>270</v>
      </c>
      <c r="B22" t="s">
        <v>57</v>
      </c>
      <c r="C22" s="69">
        <v>23850000</v>
      </c>
      <c r="D22" s="110"/>
    </row>
    <row r="23" spans="1:7">
      <c r="A23" s="93" t="s">
        <v>233</v>
      </c>
      <c r="B23" t="s">
        <v>58</v>
      </c>
      <c r="C23" s="69">
        <v>4500000</v>
      </c>
      <c r="D23" t="s">
        <v>376</v>
      </c>
    </row>
    <row r="24" spans="1:7">
      <c r="A24" s="93" t="s">
        <v>270</v>
      </c>
      <c r="B24" t="s">
        <v>235</v>
      </c>
      <c r="C24" s="69">
        <v>1400000</v>
      </c>
      <c r="D24" s="110"/>
    </row>
    <row r="25" spans="1:7">
      <c r="A25" s="93" t="s">
        <v>270</v>
      </c>
      <c r="B25" t="s">
        <v>238</v>
      </c>
      <c r="C25" s="69">
        <v>2400000</v>
      </c>
      <c r="D25" s="110"/>
    </row>
    <row r="26" spans="1:7">
      <c r="A26" s="93" t="s">
        <v>270</v>
      </c>
      <c r="B26" t="s">
        <v>59</v>
      </c>
      <c r="C26" s="69">
        <v>2600000</v>
      </c>
      <c r="D26" s="110"/>
    </row>
    <row r="27" spans="1:7">
      <c r="A27" s="93" t="s">
        <v>270</v>
      </c>
      <c r="B27" t="s">
        <v>60</v>
      </c>
      <c r="C27" s="69">
        <v>1000000</v>
      </c>
      <c r="D27" s="110"/>
    </row>
    <row r="28" spans="1:7">
      <c r="A28" s="93" t="s">
        <v>270</v>
      </c>
      <c r="B28" t="s">
        <v>255</v>
      </c>
      <c r="C28" s="69">
        <v>12000000</v>
      </c>
      <c r="D28" s="110"/>
    </row>
    <row r="29" spans="1:7">
      <c r="A29" s="93" t="s">
        <v>270</v>
      </c>
      <c r="B29" t="s">
        <v>61</v>
      </c>
      <c r="C29" s="69">
        <v>3600000</v>
      </c>
      <c r="D29" s="110"/>
    </row>
    <row r="30" spans="1:7">
      <c r="A30" s="93" t="s">
        <v>233</v>
      </c>
      <c r="B30" t="s">
        <v>62</v>
      </c>
      <c r="C30" s="69">
        <v>7000000</v>
      </c>
      <c r="D30" s="110"/>
    </row>
    <row r="31" spans="1:7">
      <c r="A31" s="93" t="s">
        <v>270</v>
      </c>
      <c r="B31" t="s">
        <v>64</v>
      </c>
      <c r="C31" s="69">
        <v>17850000</v>
      </c>
      <c r="D31" s="110"/>
    </row>
    <row r="32" spans="1:7">
      <c r="A32" s="93" t="s">
        <v>270</v>
      </c>
      <c r="B32" t="s">
        <v>262</v>
      </c>
      <c r="C32" s="69">
        <v>6000000</v>
      </c>
      <c r="D32" s="110"/>
    </row>
    <row r="33" spans="1:7">
      <c r="A33" s="93" t="s">
        <v>270</v>
      </c>
      <c r="B33" t="s">
        <v>265</v>
      </c>
      <c r="C33" s="69">
        <v>600000</v>
      </c>
      <c r="D33" s="110"/>
    </row>
    <row r="34" spans="1:7">
      <c r="A34" s="93">
        <v>2020</v>
      </c>
      <c r="B34" t="s">
        <v>63</v>
      </c>
      <c r="C34" s="124">
        <v>3656242</v>
      </c>
      <c r="G34" s="32"/>
    </row>
    <row r="35" spans="1:7">
      <c r="A35" s="93">
        <v>2016</v>
      </c>
      <c r="B35" t="s">
        <v>139</v>
      </c>
      <c r="C35" s="125">
        <v>443568</v>
      </c>
    </row>
    <row r="36" spans="1:7">
      <c r="A36" s="93">
        <v>2011</v>
      </c>
      <c r="B36" t="s">
        <v>140</v>
      </c>
      <c r="C36" s="125">
        <v>2345119</v>
      </c>
    </row>
    <row r="37" spans="1:7">
      <c r="A37" s="93">
        <v>2010</v>
      </c>
      <c r="B37" t="s">
        <v>460</v>
      </c>
      <c r="C37" s="125">
        <v>182991</v>
      </c>
    </row>
    <row r="38" spans="1:7">
      <c r="A38" s="93">
        <v>2010</v>
      </c>
      <c r="B38" t="s">
        <v>461</v>
      </c>
      <c r="C38" s="125">
        <v>131273</v>
      </c>
    </row>
    <row r="39" spans="1:7">
      <c r="A39" s="93">
        <v>2018</v>
      </c>
      <c r="B39" t="s">
        <v>462</v>
      </c>
      <c r="C39" s="125">
        <v>473699</v>
      </c>
      <c r="D39" t="s">
        <v>463</v>
      </c>
    </row>
    <row r="40" spans="1:7">
      <c r="A40" s="93">
        <v>2013</v>
      </c>
      <c r="B40" t="s">
        <v>464</v>
      </c>
      <c r="C40" s="125">
        <v>1569504</v>
      </c>
      <c r="D40" t="s">
        <v>463</v>
      </c>
    </row>
    <row r="41" spans="1:7">
      <c r="A41" s="93">
        <v>2016</v>
      </c>
      <c r="B41" t="s">
        <v>236</v>
      </c>
      <c r="C41" s="125">
        <v>4976050</v>
      </c>
    </row>
    <row r="42" spans="1:7">
      <c r="A42" s="93">
        <v>2014</v>
      </c>
      <c r="B42" t="s">
        <v>465</v>
      </c>
      <c r="C42" s="124">
        <v>49683</v>
      </c>
    </row>
    <row r="43" spans="1:7">
      <c r="A43" s="93">
        <v>2016</v>
      </c>
      <c r="B43" t="s">
        <v>105</v>
      </c>
      <c r="C43" s="125">
        <v>115372</v>
      </c>
    </row>
    <row r="44" spans="1:7">
      <c r="A44" s="93">
        <v>2018</v>
      </c>
      <c r="B44" t="s">
        <v>110</v>
      </c>
      <c r="C44" s="125">
        <v>1500000</v>
      </c>
    </row>
    <row r="45" spans="1:7">
      <c r="A45" s="93">
        <v>2014</v>
      </c>
      <c r="B45" t="s">
        <v>466</v>
      </c>
      <c r="C45" s="125">
        <v>4141512</v>
      </c>
    </row>
    <row r="46" spans="1:7">
      <c r="A46" s="93">
        <v>2014</v>
      </c>
      <c r="B46" t="s">
        <v>106</v>
      </c>
      <c r="C46" s="124">
        <v>488138</v>
      </c>
    </row>
    <row r="47" spans="1:7">
      <c r="A47" s="93">
        <v>2014</v>
      </c>
      <c r="B47" t="s">
        <v>110</v>
      </c>
      <c r="C47" s="125">
        <v>1500000</v>
      </c>
      <c r="D47" t="s">
        <v>476</v>
      </c>
    </row>
    <row r="48" spans="1:7">
      <c r="A48" s="93">
        <v>2017</v>
      </c>
      <c r="B48" t="s">
        <v>111</v>
      </c>
      <c r="C48" s="124">
        <v>800000</v>
      </c>
    </row>
    <row r="49" spans="1:5">
      <c r="A49" s="93">
        <v>2016</v>
      </c>
      <c r="B49" t="s">
        <v>477</v>
      </c>
      <c r="C49" s="124">
        <v>693104</v>
      </c>
    </row>
    <row r="50" spans="1:5">
      <c r="A50" s="93">
        <v>2018</v>
      </c>
      <c r="B50" t="s">
        <v>125</v>
      </c>
      <c r="C50" s="124">
        <v>2382019</v>
      </c>
      <c r="D50" s="32"/>
      <c r="E50" s="32"/>
    </row>
    <row r="51" spans="1:5" ht="18" customHeight="1">
      <c r="A51" s="93">
        <v>2018</v>
      </c>
      <c r="B51" s="67" t="s">
        <v>251</v>
      </c>
      <c r="C51" s="69">
        <v>6248214</v>
      </c>
      <c r="D51" s="110" t="s">
        <v>478</v>
      </c>
    </row>
    <row r="52" spans="1:5">
      <c r="A52" s="93">
        <v>2019</v>
      </c>
      <c r="B52" t="s">
        <v>132</v>
      </c>
      <c r="C52" s="125">
        <v>1483958</v>
      </c>
      <c r="D52" s="32"/>
      <c r="E52" s="32"/>
    </row>
    <row r="53" spans="1:5">
      <c r="A53" s="93">
        <v>2021</v>
      </c>
      <c r="B53" t="s">
        <v>237</v>
      </c>
      <c r="C53" s="125">
        <v>2067168</v>
      </c>
    </row>
    <row r="54" spans="1:5">
      <c r="A54" s="98" t="s">
        <v>269</v>
      </c>
      <c r="C54" s="33">
        <f>SUM(C8:C53)</f>
        <v>203447614</v>
      </c>
      <c r="D54" s="32" t="s">
        <v>198</v>
      </c>
      <c r="E54" s="32">
        <f>C54-C21</f>
        <v>153197614</v>
      </c>
    </row>
    <row r="55" spans="1:5">
      <c r="A55" s="93" t="s">
        <v>146</v>
      </c>
      <c r="C55" s="33">
        <f>+C59+C68+C74+C75+C54</f>
        <v>211347614</v>
      </c>
      <c r="D55" s="32"/>
      <c r="E55" s="32">
        <f>C55-C21</f>
        <v>161097614</v>
      </c>
    </row>
    <row r="56" spans="1:5">
      <c r="B56" t="s">
        <v>197</v>
      </c>
      <c r="C56" s="32">
        <f>C55/18</f>
        <v>11741534.111111112</v>
      </c>
      <c r="E56" s="32">
        <f>E55/18</f>
        <v>8949867.444444444</v>
      </c>
    </row>
    <row r="57" spans="1:5" s="35" customFormat="1">
      <c r="A57" s="95"/>
      <c r="B57" s="35" t="s">
        <v>65</v>
      </c>
      <c r="C57" s="36"/>
    </row>
    <row r="58" spans="1:5">
      <c r="A58" s="93" t="s">
        <v>233</v>
      </c>
      <c r="B58" t="s">
        <v>67</v>
      </c>
      <c r="C58" s="69">
        <v>5000000</v>
      </c>
    </row>
    <row r="59" spans="1:5">
      <c r="A59" s="93" t="s">
        <v>233</v>
      </c>
      <c r="B59" t="s">
        <v>68</v>
      </c>
      <c r="C59" s="34">
        <v>3200000</v>
      </c>
    </row>
    <row r="60" spans="1:5">
      <c r="A60" s="93" t="s">
        <v>270</v>
      </c>
      <c r="B60" t="s">
        <v>72</v>
      </c>
      <c r="C60" s="69">
        <v>5000000</v>
      </c>
    </row>
    <row r="61" spans="1:5">
      <c r="A61" s="93" t="s">
        <v>270</v>
      </c>
      <c r="B61" t="s">
        <v>69</v>
      </c>
      <c r="C61" s="69">
        <v>8100000</v>
      </c>
    </row>
    <row r="62" spans="1:5">
      <c r="A62" s="93" t="s">
        <v>270</v>
      </c>
      <c r="B62" t="s">
        <v>70</v>
      </c>
      <c r="C62" s="69">
        <v>5000000</v>
      </c>
    </row>
    <row r="63" spans="1:5">
      <c r="A63" s="93" t="s">
        <v>270</v>
      </c>
      <c r="B63" t="s">
        <v>242</v>
      </c>
      <c r="C63" s="69">
        <v>3400000</v>
      </c>
    </row>
    <row r="64" spans="1:5">
      <c r="A64" s="93" t="s">
        <v>270</v>
      </c>
      <c r="B64" t="s">
        <v>71</v>
      </c>
      <c r="C64" s="69">
        <v>1000000</v>
      </c>
    </row>
    <row r="65" spans="1:6">
      <c r="A65" s="93">
        <v>2010</v>
      </c>
      <c r="B65" t="s">
        <v>135</v>
      </c>
      <c r="C65" s="32">
        <v>285000</v>
      </c>
    </row>
    <row r="66" spans="1:6">
      <c r="A66" s="93">
        <v>2010</v>
      </c>
      <c r="B66" t="s">
        <v>137</v>
      </c>
      <c r="C66" s="32">
        <v>2500000</v>
      </c>
    </row>
    <row r="67" spans="1:6">
      <c r="A67" s="93">
        <v>2010</v>
      </c>
      <c r="B67" t="s">
        <v>138</v>
      </c>
      <c r="C67" s="32">
        <v>750000</v>
      </c>
    </row>
    <row r="68" spans="1:6">
      <c r="A68" s="93">
        <v>2013</v>
      </c>
      <c r="B68" t="s">
        <v>107</v>
      </c>
      <c r="C68" s="34">
        <v>1500000</v>
      </c>
    </row>
    <row r="69" spans="1:6">
      <c r="A69" s="93">
        <v>2013</v>
      </c>
      <c r="B69" t="s">
        <v>136</v>
      </c>
      <c r="C69" s="32">
        <v>3600000</v>
      </c>
    </row>
    <row r="70" spans="1:6">
      <c r="A70" s="93">
        <v>2013</v>
      </c>
      <c r="B70" t="s">
        <v>112</v>
      </c>
      <c r="C70" s="32">
        <v>200000</v>
      </c>
    </row>
    <row r="71" spans="1:6">
      <c r="A71" s="93">
        <v>2013</v>
      </c>
      <c r="B71" t="s">
        <v>113</v>
      </c>
      <c r="C71" s="32">
        <v>300000</v>
      </c>
    </row>
    <row r="72" spans="1:6">
      <c r="A72" s="93">
        <v>2014</v>
      </c>
      <c r="B72" t="s">
        <v>114</v>
      </c>
      <c r="C72" s="32">
        <v>13000000</v>
      </c>
    </row>
    <row r="73" spans="1:6">
      <c r="A73" s="93">
        <v>2014</v>
      </c>
      <c r="B73" t="s">
        <v>115</v>
      </c>
      <c r="C73" s="32">
        <v>5000000</v>
      </c>
    </row>
    <row r="74" spans="1:6">
      <c r="A74" s="93">
        <v>2014</v>
      </c>
      <c r="B74" t="s">
        <v>131</v>
      </c>
      <c r="C74" s="34">
        <v>200000</v>
      </c>
    </row>
    <row r="75" spans="1:6">
      <c r="A75" s="93">
        <v>2015</v>
      </c>
      <c r="B75" t="s">
        <v>126</v>
      </c>
      <c r="C75" s="34">
        <v>3000000</v>
      </c>
    </row>
    <row r="76" spans="1:6">
      <c r="A76" s="93">
        <v>2015</v>
      </c>
      <c r="B76" t="s">
        <v>128</v>
      </c>
      <c r="C76" s="32">
        <v>2000000</v>
      </c>
    </row>
    <row r="77" spans="1:6">
      <c r="A77" s="93">
        <v>2017</v>
      </c>
      <c r="B77" t="s">
        <v>143</v>
      </c>
      <c r="C77" s="32">
        <v>3300000</v>
      </c>
      <c r="E77" s="9" t="s">
        <v>306</v>
      </c>
    </row>
    <row r="78" spans="1:6" ht="68">
      <c r="A78" s="99" t="s">
        <v>148</v>
      </c>
      <c r="C78" s="33">
        <f>C58+C60+C61+C62+C63+C64+C65+C66+C67+C69+C70+C71+C72+C73+C76+C77</f>
        <v>58435000</v>
      </c>
      <c r="E78" s="9" t="s">
        <v>195</v>
      </c>
    </row>
    <row r="79" spans="1:6" s="24" customFormat="1">
      <c r="A79" s="96" t="s">
        <v>335</v>
      </c>
      <c r="B79" s="24" t="s">
        <v>222</v>
      </c>
      <c r="C79" s="66"/>
    </row>
    <row r="80" spans="1:6">
      <c r="A80" s="93" t="s">
        <v>271</v>
      </c>
      <c r="B80" t="s">
        <v>66</v>
      </c>
      <c r="C80" s="69">
        <v>21500000</v>
      </c>
      <c r="D80" s="52" t="s">
        <v>234</v>
      </c>
      <c r="F80" s="52" t="s">
        <v>223</v>
      </c>
    </row>
    <row r="81" spans="1:4" ht="17" customHeight="1">
      <c r="A81" s="93" t="s">
        <v>261</v>
      </c>
      <c r="B81" t="s">
        <v>250</v>
      </c>
      <c r="C81" s="69">
        <v>35590000</v>
      </c>
    </row>
    <row r="82" spans="1:4">
      <c r="A82" s="93" t="s">
        <v>272</v>
      </c>
      <c r="B82" t="s">
        <v>224</v>
      </c>
      <c r="C82" s="69">
        <v>3500000</v>
      </c>
    </row>
    <row r="83" spans="1:4">
      <c r="A83" s="93" t="s">
        <v>270</v>
      </c>
      <c r="B83" t="s">
        <v>243</v>
      </c>
      <c r="C83" s="69">
        <v>2500000</v>
      </c>
    </row>
    <row r="84" spans="1:4">
      <c r="A84" s="93" t="s">
        <v>270</v>
      </c>
      <c r="B84" t="s">
        <v>245</v>
      </c>
      <c r="C84" s="69">
        <v>77600000</v>
      </c>
    </row>
    <row r="85" spans="1:4">
      <c r="A85" s="93" t="s">
        <v>270</v>
      </c>
      <c r="B85" t="s">
        <v>244</v>
      </c>
      <c r="C85" s="69">
        <v>2000000</v>
      </c>
    </row>
    <row r="86" spans="1:4">
      <c r="A86" s="93" t="s">
        <v>270</v>
      </c>
      <c r="B86" t="s">
        <v>247</v>
      </c>
      <c r="C86" s="69">
        <v>7000000</v>
      </c>
    </row>
    <row r="87" spans="1:4">
      <c r="A87" s="93" t="s">
        <v>270</v>
      </c>
      <c r="B87" t="s">
        <v>248</v>
      </c>
      <c r="C87" s="69">
        <v>50300000</v>
      </c>
      <c r="D87" t="s">
        <v>374</v>
      </c>
    </row>
    <row r="88" spans="1:4">
      <c r="A88" s="93" t="s">
        <v>233</v>
      </c>
      <c r="B88" t="s">
        <v>249</v>
      </c>
      <c r="C88" s="69">
        <v>2500000</v>
      </c>
    </row>
    <row r="89" spans="1:4">
      <c r="A89" s="93" t="s">
        <v>261</v>
      </c>
      <c r="B89" t="s">
        <v>246</v>
      </c>
      <c r="C89" s="69">
        <v>15000000</v>
      </c>
    </row>
    <row r="90" spans="1:4">
      <c r="A90" s="98" t="s">
        <v>47</v>
      </c>
      <c r="C90" s="33">
        <f>SUM(C81:C89)</f>
        <v>195990000</v>
      </c>
    </row>
    <row r="91" spans="1:4" s="42" customFormat="1">
      <c r="A91" s="97"/>
      <c r="B91" s="42" t="s">
        <v>116</v>
      </c>
      <c r="C91" s="43"/>
    </row>
    <row r="92" spans="1:4">
      <c r="A92" s="93">
        <v>2013</v>
      </c>
      <c r="B92" t="s">
        <v>117</v>
      </c>
      <c r="C92" s="32">
        <v>2400000</v>
      </c>
      <c r="D92" t="s">
        <v>118</v>
      </c>
    </row>
    <row r="93" spans="1:4">
      <c r="A93" s="93">
        <v>2014</v>
      </c>
      <c r="B93" t="s">
        <v>117</v>
      </c>
      <c r="C93" s="32">
        <v>6250000</v>
      </c>
    </row>
    <row r="94" spans="1:4">
      <c r="A94" s="93">
        <v>2015</v>
      </c>
      <c r="B94" t="s">
        <v>117</v>
      </c>
      <c r="C94" s="32">
        <v>7000000</v>
      </c>
      <c r="D94" t="s">
        <v>127</v>
      </c>
    </row>
    <row r="95" spans="1:4">
      <c r="A95" s="93">
        <v>2016</v>
      </c>
      <c r="B95" t="s">
        <v>117</v>
      </c>
      <c r="C95" s="32">
        <v>517000000</v>
      </c>
    </row>
    <row r="96" spans="1:4">
      <c r="A96" s="93">
        <v>2017</v>
      </c>
      <c r="C96" s="32" t="s">
        <v>147</v>
      </c>
    </row>
    <row r="98" spans="1:7">
      <c r="A98" s="100" t="s">
        <v>225</v>
      </c>
    </row>
    <row r="99" spans="1:7">
      <c r="A99" s="93" t="s">
        <v>272</v>
      </c>
      <c r="B99" t="s">
        <v>226</v>
      </c>
    </row>
    <row r="100" spans="1:7">
      <c r="B100" s="101" t="s">
        <v>204</v>
      </c>
    </row>
    <row r="101" spans="1:7">
      <c r="B101" s="101" t="s">
        <v>231</v>
      </c>
    </row>
    <row r="102" spans="1:7">
      <c r="B102" s="101" t="s">
        <v>228</v>
      </c>
    </row>
    <row r="103" spans="1:7" ht="15" customHeight="1"/>
    <row r="104" spans="1:7" ht="17" customHeight="1"/>
    <row r="105" spans="1:7">
      <c r="A105" s="93" t="s">
        <v>479</v>
      </c>
    </row>
    <row r="106" spans="1:7">
      <c r="A106" s="132" t="s">
        <v>233</v>
      </c>
      <c r="B106" s="133" t="s">
        <v>58</v>
      </c>
      <c r="C106" s="134">
        <v>4500000</v>
      </c>
      <c r="D106" s="133" t="s">
        <v>376</v>
      </c>
      <c r="E106" s="133"/>
      <c r="F106" s="133"/>
      <c r="G106"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EA81-3DD0-0948-9E67-F090F4FB0FFE}">
  <sheetPr>
    <tabColor theme="8" tint="0.59999389629810485"/>
  </sheetPr>
  <dimension ref="A1:AD44"/>
  <sheetViews>
    <sheetView workbookViewId="0">
      <pane xSplit="1" ySplit="2" topLeftCell="P3" activePane="bottomRight" state="frozen"/>
      <selection pane="topRight" activeCell="B1" sqref="B1"/>
      <selection pane="bottomLeft" activeCell="A3" sqref="A3"/>
      <selection pane="bottomRight" activeCell="Y42" sqref="Y42"/>
    </sheetView>
  </sheetViews>
  <sheetFormatPr baseColWidth="10" defaultRowHeight="16"/>
  <cols>
    <col min="1" max="1" width="17.33203125" customWidth="1"/>
    <col min="2" max="2" width="14" customWidth="1"/>
    <col min="3" max="3" width="15" customWidth="1"/>
    <col min="4" max="4" width="14" bestFit="1" customWidth="1"/>
    <col min="5" max="5" width="13.83203125" customWidth="1"/>
    <col min="6" max="6" width="15" customWidth="1"/>
    <col min="7" max="8" width="12.5" bestFit="1" customWidth="1"/>
    <col min="9" max="9" width="14" customWidth="1"/>
    <col min="10" max="13" width="14" bestFit="1" customWidth="1"/>
    <col min="14" max="15" width="15" bestFit="1" customWidth="1"/>
    <col min="16" max="19" width="13.83203125" customWidth="1"/>
    <col min="20" max="20" width="19.33203125" customWidth="1"/>
    <col min="21" max="21" width="18.1640625" customWidth="1"/>
    <col min="22" max="22" width="13.5" bestFit="1" customWidth="1"/>
    <col min="30" max="30" width="13.5" bestFit="1" customWidth="1"/>
  </cols>
  <sheetData>
    <row r="1" spans="1:30" ht="17" customHeight="1">
      <c r="A1" s="1" t="s">
        <v>86</v>
      </c>
      <c r="B1" s="16" t="s">
        <v>133</v>
      </c>
      <c r="C1" t="s">
        <v>141</v>
      </c>
      <c r="D1" s="24" t="s">
        <v>101</v>
      </c>
      <c r="E1" s="24"/>
      <c r="F1" s="35" t="s">
        <v>108</v>
      </c>
      <c r="G1" s="44" t="s">
        <v>119</v>
      </c>
      <c r="H1" s="45" t="s">
        <v>130</v>
      </c>
      <c r="I1" s="46" t="s">
        <v>228</v>
      </c>
      <c r="J1" s="46" t="s">
        <v>228</v>
      </c>
      <c r="K1" s="12" t="s">
        <v>229</v>
      </c>
      <c r="L1" s="45" t="s">
        <v>231</v>
      </c>
      <c r="M1" s="45" t="s">
        <v>231</v>
      </c>
      <c r="N1" s="24" t="s">
        <v>199</v>
      </c>
      <c r="O1" s="24"/>
      <c r="P1" s="24"/>
      <c r="Q1" s="24"/>
      <c r="R1" s="24"/>
      <c r="S1" s="24"/>
      <c r="T1" s="24"/>
      <c r="U1" s="9" t="s">
        <v>328</v>
      </c>
    </row>
    <row r="2" spans="1:30" s="2" customFormat="1" ht="17" thickBot="1">
      <c r="A2" s="2" t="s">
        <v>7</v>
      </c>
      <c r="B2" s="2">
        <v>2010</v>
      </c>
      <c r="C2" s="2">
        <v>2011</v>
      </c>
      <c r="D2" s="2">
        <v>2012</v>
      </c>
      <c r="E2" s="2">
        <v>2013</v>
      </c>
      <c r="F2" s="2">
        <v>2014</v>
      </c>
      <c r="G2" s="2">
        <v>2015</v>
      </c>
      <c r="H2" s="2">
        <v>2016</v>
      </c>
      <c r="I2" s="2">
        <v>2017</v>
      </c>
      <c r="J2" s="2">
        <v>2018</v>
      </c>
      <c r="K2" s="2">
        <v>2019</v>
      </c>
      <c r="L2" s="2">
        <v>2020</v>
      </c>
      <c r="M2" s="2">
        <v>2021</v>
      </c>
      <c r="N2" s="2">
        <v>2022</v>
      </c>
      <c r="O2" s="2">
        <v>2023</v>
      </c>
      <c r="P2" s="2">
        <v>2024</v>
      </c>
      <c r="Q2" s="2">
        <v>2025</v>
      </c>
      <c r="R2" s="2">
        <v>2026</v>
      </c>
      <c r="S2" s="2">
        <v>2027</v>
      </c>
      <c r="T2" s="2" t="s">
        <v>314</v>
      </c>
      <c r="U2" s="2" t="s">
        <v>274</v>
      </c>
      <c r="V2" s="2" t="s">
        <v>273</v>
      </c>
      <c r="W2" s="2" t="s">
        <v>277</v>
      </c>
      <c r="X2" s="2" t="s">
        <v>390</v>
      </c>
      <c r="Z2" s="2" t="s">
        <v>278</v>
      </c>
      <c r="AB2" s="2" t="s">
        <v>279</v>
      </c>
    </row>
    <row r="3" spans="1:30" ht="17" thickTop="1">
      <c r="A3" s="8" t="s">
        <v>90</v>
      </c>
      <c r="C3" s="38"/>
      <c r="D3" s="38"/>
      <c r="E3" s="38"/>
      <c r="F3" s="38"/>
      <c r="G3" s="38"/>
      <c r="H3" s="38"/>
      <c r="I3" s="38"/>
      <c r="J3" s="38"/>
      <c r="K3" s="38"/>
      <c r="L3" s="38"/>
      <c r="M3" s="38"/>
      <c r="N3" s="38"/>
      <c r="O3" s="38"/>
      <c r="P3" s="38"/>
      <c r="Q3" s="38"/>
      <c r="R3" s="38"/>
      <c r="S3" s="38"/>
      <c r="T3" s="38"/>
    </row>
    <row r="4" spans="1:30">
      <c r="A4" t="s">
        <v>87</v>
      </c>
      <c r="B4" s="38">
        <v>24885</v>
      </c>
      <c r="C4" s="38">
        <v>26673</v>
      </c>
      <c r="D4" s="38">
        <v>21239</v>
      </c>
      <c r="E4" s="38">
        <v>21287</v>
      </c>
      <c r="F4" s="38">
        <v>21503</v>
      </c>
      <c r="G4" s="38">
        <v>22315</v>
      </c>
      <c r="H4" s="38">
        <v>23223</v>
      </c>
      <c r="I4" s="38">
        <v>16621</v>
      </c>
      <c r="J4" s="38">
        <v>17102</v>
      </c>
      <c r="K4" s="38">
        <v>27714</v>
      </c>
      <c r="L4" s="38">
        <v>19032</v>
      </c>
      <c r="M4" s="38">
        <v>19777</v>
      </c>
      <c r="N4" s="38">
        <v>17582</v>
      </c>
      <c r="O4" s="38">
        <v>20107</v>
      </c>
      <c r="P4" s="38">
        <v>20946</v>
      </c>
      <c r="Q4" s="38">
        <v>23259</v>
      </c>
      <c r="R4" s="38">
        <v>25189</v>
      </c>
      <c r="S4" s="38">
        <v>25179</v>
      </c>
      <c r="T4" s="40">
        <f>SUM(A4:L4)</f>
        <v>241594</v>
      </c>
      <c r="U4" s="40">
        <f t="shared" ref="U4:U7" si="0">SUM(B4:N4)</f>
        <v>278953</v>
      </c>
      <c r="W4" s="65">
        <f t="shared" ref="W4:W5" si="1">N4/B4</f>
        <v>0.70653003817560778</v>
      </c>
      <c r="X4" s="65">
        <f>L4/B4</f>
        <v>0.76479807112718501</v>
      </c>
      <c r="Y4" s="70"/>
      <c r="Z4" s="6">
        <f t="shared" ref="Z4:Z5" si="2">S4/B4</f>
        <v>1.0118143459915612</v>
      </c>
      <c r="AB4" s="6">
        <f t="shared" ref="AB4:AB5" si="3">S4/N4</f>
        <v>1.4320896371288818</v>
      </c>
    </row>
    <row r="5" spans="1:30">
      <c r="A5" t="s">
        <v>88</v>
      </c>
      <c r="B5" s="38">
        <v>1133687</v>
      </c>
      <c r="C5" s="38">
        <v>1075607</v>
      </c>
      <c r="D5" s="38">
        <v>1100153</v>
      </c>
      <c r="E5" s="38">
        <v>1115361</v>
      </c>
      <c r="F5" s="38">
        <v>1258544</v>
      </c>
      <c r="G5" s="38">
        <v>462456</v>
      </c>
      <c r="H5" s="38">
        <v>277608</v>
      </c>
      <c r="I5" s="38">
        <v>213155</v>
      </c>
      <c r="J5" s="38">
        <v>343551</v>
      </c>
      <c r="K5" s="38">
        <v>484553</v>
      </c>
      <c r="L5" s="38">
        <v>515127</v>
      </c>
      <c r="M5" s="38">
        <v>372485</v>
      </c>
      <c r="N5" s="38">
        <v>862263</v>
      </c>
      <c r="O5" s="38">
        <v>862425</v>
      </c>
      <c r="P5" s="38">
        <v>428125</v>
      </c>
      <c r="Q5" s="38">
        <v>408426</v>
      </c>
      <c r="R5" s="38">
        <v>326075</v>
      </c>
      <c r="S5" s="38">
        <v>245093</v>
      </c>
      <c r="T5" s="40">
        <f t="shared" ref="T5:T12" si="4">SUM(A5:L5)</f>
        <v>7979802</v>
      </c>
      <c r="U5" s="40">
        <f t="shared" si="0"/>
        <v>9214550</v>
      </c>
      <c r="W5" s="65">
        <f t="shared" si="1"/>
        <v>0.76058294749785438</v>
      </c>
      <c r="X5" s="65">
        <f>L5/B5</f>
        <v>0.45438202960781943</v>
      </c>
      <c r="Y5" s="70"/>
      <c r="Z5" s="6">
        <f t="shared" si="2"/>
        <v>0.21619106508233754</v>
      </c>
      <c r="AB5" s="6">
        <f t="shared" si="3"/>
        <v>0.28424390238245179</v>
      </c>
    </row>
    <row r="6" spans="1:30">
      <c r="A6" t="s">
        <v>98</v>
      </c>
      <c r="B6" s="38"/>
      <c r="C6" s="38"/>
      <c r="D6" s="38"/>
      <c r="E6" s="38">
        <v>478640</v>
      </c>
      <c r="F6" s="38">
        <v>457592</v>
      </c>
      <c r="G6" s="38">
        <v>463598</v>
      </c>
      <c r="H6" s="38">
        <v>140271</v>
      </c>
      <c r="I6" s="38">
        <v>78746</v>
      </c>
      <c r="J6" s="38">
        <v>65549</v>
      </c>
      <c r="K6" s="38">
        <v>74265</v>
      </c>
      <c r="L6" s="38">
        <v>103806</v>
      </c>
      <c r="M6" s="38">
        <v>105901</v>
      </c>
      <c r="N6" s="38">
        <v>124066</v>
      </c>
      <c r="O6" s="38">
        <v>89668</v>
      </c>
      <c r="P6" s="38">
        <v>92306</v>
      </c>
      <c r="Q6" s="38">
        <v>94783</v>
      </c>
      <c r="R6" s="38">
        <v>97321</v>
      </c>
      <c r="S6" s="38">
        <v>99927</v>
      </c>
      <c r="T6" s="40">
        <f t="shared" si="4"/>
        <v>1862467</v>
      </c>
      <c r="U6" s="40">
        <f t="shared" si="0"/>
        <v>2092434</v>
      </c>
      <c r="W6" s="71"/>
      <c r="X6" s="71"/>
      <c r="Y6" s="70"/>
      <c r="Z6" s="71"/>
      <c r="AB6" s="71"/>
    </row>
    <row r="7" spans="1:30">
      <c r="A7" t="s">
        <v>99</v>
      </c>
      <c r="B7" s="38">
        <v>5179832</v>
      </c>
      <c r="C7" s="38">
        <v>7997306</v>
      </c>
      <c r="D7" s="38">
        <v>7457292</v>
      </c>
      <c r="E7" s="38">
        <v>8025163</v>
      </c>
      <c r="F7" s="38">
        <v>8615387</v>
      </c>
      <c r="G7" s="38">
        <v>4997354</v>
      </c>
      <c r="H7" s="38">
        <v>5234882</v>
      </c>
      <c r="J7" s="38"/>
      <c r="K7" s="38"/>
      <c r="L7" s="38">
        <v>0</v>
      </c>
      <c r="M7" s="38">
        <v>0</v>
      </c>
      <c r="N7" s="38">
        <v>0</v>
      </c>
      <c r="O7" s="38">
        <v>0</v>
      </c>
      <c r="P7" s="38">
        <v>0</v>
      </c>
      <c r="Q7" s="38"/>
      <c r="R7" s="38"/>
      <c r="S7" s="38"/>
      <c r="T7" s="40">
        <f t="shared" si="4"/>
        <v>47507216</v>
      </c>
      <c r="U7" s="40">
        <f t="shared" si="0"/>
        <v>47507216</v>
      </c>
      <c r="W7" s="71"/>
      <c r="X7" s="71"/>
      <c r="Y7" s="70"/>
      <c r="Z7" s="71"/>
      <c r="AB7" s="71"/>
    </row>
    <row r="8" spans="1:30" ht="17" customHeight="1">
      <c r="A8" t="s">
        <v>74</v>
      </c>
      <c r="B8" s="38">
        <v>32056771</v>
      </c>
      <c r="C8" s="38">
        <v>26892550</v>
      </c>
      <c r="D8" s="38">
        <v>27647467</v>
      </c>
      <c r="E8" s="38">
        <v>21283147</v>
      </c>
      <c r="F8" s="38">
        <v>19843356</v>
      </c>
      <c r="G8" s="38">
        <v>17522457</v>
      </c>
      <c r="H8" s="38">
        <v>19532177</v>
      </c>
      <c r="I8" s="38">
        <v>37591183</v>
      </c>
      <c r="J8" s="38">
        <v>47680002</v>
      </c>
      <c r="K8" s="38">
        <v>63759106</v>
      </c>
      <c r="L8" s="38">
        <v>33342259</v>
      </c>
      <c r="M8" s="38">
        <v>31396072</v>
      </c>
      <c r="N8" s="38">
        <v>25778096</v>
      </c>
      <c r="O8" s="38">
        <v>28131613</v>
      </c>
      <c r="P8" s="38">
        <v>29276269</v>
      </c>
      <c r="Q8" s="38">
        <v>32208158</v>
      </c>
      <c r="R8" s="38">
        <v>33926731</v>
      </c>
      <c r="S8" s="38">
        <v>35158021</v>
      </c>
      <c r="T8" s="40">
        <f t="shared" si="4"/>
        <v>347150475</v>
      </c>
      <c r="U8" s="40">
        <f>SUM(B8:N8)</f>
        <v>404324643</v>
      </c>
      <c r="V8" s="40">
        <f>U8+U11</f>
        <v>679765343</v>
      </c>
      <c r="W8" s="65">
        <f>N8/B8</f>
        <v>0.80413888223489505</v>
      </c>
      <c r="X8" s="65">
        <f>L8/B8</f>
        <v>1.0401003582051356</v>
      </c>
      <c r="Y8" t="s">
        <v>281</v>
      </c>
      <c r="Z8" s="6">
        <f>S8/B8</f>
        <v>1.0967424323553985</v>
      </c>
      <c r="AB8" s="6">
        <f>S8/N8</f>
        <v>1.3638719089260898</v>
      </c>
      <c r="AC8" t="s">
        <v>319</v>
      </c>
      <c r="AD8" s="40">
        <f>L15+L16+L17+L18</f>
        <v>3980476</v>
      </c>
    </row>
    <row r="9" spans="1:30" ht="17" customHeight="1">
      <c r="A9" t="s">
        <v>203</v>
      </c>
      <c r="B9" s="38"/>
      <c r="C9" s="38"/>
      <c r="D9" s="38"/>
      <c r="E9" s="38"/>
      <c r="F9" s="38"/>
      <c r="G9" s="38"/>
      <c r="H9" s="38"/>
      <c r="J9" s="38"/>
      <c r="K9" s="38"/>
      <c r="L9" s="38"/>
      <c r="M9" s="38"/>
      <c r="N9" s="38">
        <v>5715630</v>
      </c>
      <c r="O9" s="38">
        <v>5723220</v>
      </c>
      <c r="P9" s="38">
        <v>5655120</v>
      </c>
      <c r="Q9" s="38">
        <v>5160900</v>
      </c>
      <c r="R9" s="38">
        <v>5094630</v>
      </c>
      <c r="S9" s="38">
        <v>5179270</v>
      </c>
      <c r="T9" s="40">
        <f t="shared" si="4"/>
        <v>0</v>
      </c>
      <c r="U9" s="40">
        <f t="shared" ref="T9:U26" si="5">SUM(B9:N9)</f>
        <v>5715630</v>
      </c>
      <c r="V9" s="40"/>
      <c r="AC9" t="s">
        <v>315</v>
      </c>
      <c r="AD9" s="40">
        <f>T8+T11</f>
        <v>573473163</v>
      </c>
    </row>
    <row r="10" spans="1:30">
      <c r="A10" t="s">
        <v>283</v>
      </c>
      <c r="B10" s="38">
        <v>24663023</v>
      </c>
      <c r="C10" s="38">
        <v>23396171</v>
      </c>
      <c r="D10" s="38">
        <v>25482192</v>
      </c>
      <c r="E10" s="38">
        <v>31766367</v>
      </c>
      <c r="F10" s="38">
        <v>32859808</v>
      </c>
      <c r="G10" s="38">
        <v>35236437</v>
      </c>
      <c r="H10" s="38">
        <v>33416414</v>
      </c>
      <c r="I10" s="38">
        <v>30636907</v>
      </c>
      <c r="J10" s="38">
        <v>32189297</v>
      </c>
      <c r="K10" s="38">
        <v>35096481</v>
      </c>
      <c r="L10" s="38">
        <v>35599324</v>
      </c>
      <c r="M10" s="38">
        <v>39022009</v>
      </c>
      <c r="N10" s="38">
        <v>39877587</v>
      </c>
      <c r="O10" s="38">
        <v>44524742</v>
      </c>
      <c r="P10" s="38">
        <v>47154032</v>
      </c>
      <c r="Q10" s="38">
        <v>49867644</v>
      </c>
      <c r="R10" s="38">
        <v>52104018</v>
      </c>
      <c r="S10" s="38">
        <v>54490126</v>
      </c>
      <c r="T10" s="40">
        <f t="shared" si="4"/>
        <v>340342421</v>
      </c>
      <c r="U10" s="40">
        <f t="shared" si="5"/>
        <v>419242017</v>
      </c>
      <c r="AC10" t="s">
        <v>313</v>
      </c>
      <c r="AD10" s="40">
        <f>T15+T16+T17+T18</f>
        <v>44968714</v>
      </c>
    </row>
    <row r="11" spans="1:30">
      <c r="A11" t="s">
        <v>3</v>
      </c>
      <c r="B11" s="38">
        <v>19361340</v>
      </c>
      <c r="C11" s="38">
        <v>18932368</v>
      </c>
      <c r="D11" s="38">
        <v>17092037</v>
      </c>
      <c r="E11" s="38">
        <v>18728448</v>
      </c>
      <c r="F11" s="38">
        <v>22123003</v>
      </c>
      <c r="G11" s="38">
        <v>22942375</v>
      </c>
      <c r="H11" s="38">
        <v>22794804</v>
      </c>
      <c r="I11" s="38">
        <v>20575965</v>
      </c>
      <c r="J11" s="38">
        <v>19617423</v>
      </c>
      <c r="K11" s="38">
        <v>20539052</v>
      </c>
      <c r="L11" s="38">
        <v>23615873</v>
      </c>
      <c r="M11" s="38">
        <v>24220370</v>
      </c>
      <c r="N11" s="70">
        <v>24897642</v>
      </c>
      <c r="O11" s="70">
        <v>26251301</v>
      </c>
      <c r="P11" s="70">
        <v>28924926</v>
      </c>
      <c r="Q11" s="38">
        <v>31941703</v>
      </c>
      <c r="R11" s="38">
        <v>32805694</v>
      </c>
      <c r="S11" s="38">
        <v>33665020</v>
      </c>
      <c r="T11" s="40">
        <f t="shared" si="4"/>
        <v>226322688</v>
      </c>
      <c r="U11" s="40">
        <f t="shared" si="5"/>
        <v>275440700</v>
      </c>
      <c r="W11" s="65">
        <f>N11/B11</f>
        <v>1.2859462206644787</v>
      </c>
      <c r="X11" s="65">
        <f>L11/B11</f>
        <v>1.2197437264156303</v>
      </c>
      <c r="Y11" s="70" t="s">
        <v>280</v>
      </c>
      <c r="Z11" s="6">
        <f>S11/B11</f>
        <v>1.7387753120393525</v>
      </c>
      <c r="AA11" t="s">
        <v>275</v>
      </c>
      <c r="AB11" s="6">
        <f>S11/N11</f>
        <v>1.3521368810749226</v>
      </c>
      <c r="AC11" t="s">
        <v>276</v>
      </c>
    </row>
    <row r="12" spans="1:30">
      <c r="A12" t="s">
        <v>102</v>
      </c>
      <c r="B12" s="38"/>
      <c r="C12" s="38"/>
      <c r="D12" s="38">
        <v>684807</v>
      </c>
      <c r="E12" s="38">
        <v>540472</v>
      </c>
      <c r="F12" s="38">
        <v>625530</v>
      </c>
      <c r="G12" s="38">
        <v>576904</v>
      </c>
      <c r="H12" s="38"/>
      <c r="I12" s="38"/>
      <c r="J12" s="38"/>
      <c r="K12" s="38"/>
      <c r="L12" s="38"/>
      <c r="M12" s="38"/>
      <c r="N12" s="38"/>
      <c r="O12" s="38"/>
      <c r="P12" s="38"/>
      <c r="Q12" s="38"/>
      <c r="R12" s="38"/>
      <c r="S12" s="38"/>
      <c r="T12" s="40">
        <f t="shared" si="4"/>
        <v>2427713</v>
      </c>
      <c r="U12" s="40">
        <f t="shared" si="5"/>
        <v>2427713</v>
      </c>
    </row>
    <row r="13" spans="1:30">
      <c r="B13" s="38"/>
      <c r="C13" s="38"/>
      <c r="D13" s="38"/>
      <c r="E13" s="38"/>
      <c r="F13" s="38"/>
      <c r="G13" s="38"/>
      <c r="H13" s="38"/>
      <c r="I13" s="38"/>
      <c r="J13" s="38"/>
      <c r="K13" s="38"/>
      <c r="L13" s="38"/>
      <c r="M13" s="38"/>
      <c r="N13" s="38"/>
      <c r="O13" s="38"/>
      <c r="P13" s="38"/>
      <c r="Q13" s="38"/>
      <c r="R13" s="38"/>
      <c r="S13" s="38"/>
      <c r="T13" s="38"/>
      <c r="U13" s="40"/>
    </row>
    <row r="14" spans="1:30">
      <c r="A14" s="8" t="s">
        <v>89</v>
      </c>
      <c r="B14" s="38"/>
      <c r="C14" s="38"/>
      <c r="D14" s="38"/>
      <c r="E14" s="38"/>
      <c r="F14" s="38"/>
      <c r="G14" s="38"/>
      <c r="H14" s="38"/>
      <c r="I14" s="38"/>
      <c r="J14" s="38"/>
      <c r="K14" s="38"/>
      <c r="L14" s="38"/>
      <c r="M14" s="38"/>
      <c r="N14" s="38"/>
      <c r="O14" s="38"/>
      <c r="P14" s="38"/>
      <c r="Q14" s="38"/>
      <c r="R14" s="38"/>
      <c r="S14" s="38"/>
      <c r="T14" s="38"/>
      <c r="U14" s="40"/>
    </row>
    <row r="15" spans="1:30">
      <c r="A15" t="s">
        <v>91</v>
      </c>
      <c r="B15" s="38">
        <v>1271614</v>
      </c>
      <c r="C15" s="38">
        <v>1260097</v>
      </c>
      <c r="D15" s="38">
        <v>1501954</v>
      </c>
      <c r="E15" s="38">
        <v>1956517</v>
      </c>
      <c r="F15" s="38">
        <v>2006055</v>
      </c>
      <c r="G15" s="38">
        <v>1537140</v>
      </c>
      <c r="H15" s="38">
        <v>1158983</v>
      </c>
      <c r="I15" s="38">
        <v>739270</v>
      </c>
      <c r="J15" s="38">
        <v>658352</v>
      </c>
      <c r="K15" s="38">
        <v>787868</v>
      </c>
      <c r="L15" s="38">
        <v>726126</v>
      </c>
      <c r="M15" s="38">
        <v>738728</v>
      </c>
      <c r="N15" s="38">
        <v>624289</v>
      </c>
      <c r="O15" s="38">
        <v>591574</v>
      </c>
      <c r="P15" s="38">
        <v>607098</v>
      </c>
      <c r="Q15" s="38">
        <v>621590</v>
      </c>
      <c r="R15" s="38">
        <v>636373</v>
      </c>
      <c r="S15" s="38">
        <v>651554</v>
      </c>
      <c r="T15" s="40">
        <f t="shared" ref="T15:T24" si="6">SUM(A15:L15)</f>
        <v>13603976</v>
      </c>
      <c r="U15" s="40">
        <f t="shared" si="5"/>
        <v>14966993</v>
      </c>
      <c r="V15" s="40">
        <f>SUM(U15:U18)</f>
        <v>52709803</v>
      </c>
      <c r="W15" s="65">
        <f>N15/B15</f>
        <v>0.4909422198874816</v>
      </c>
      <c r="X15" s="65">
        <f>L15/B15</f>
        <v>0.57102705695281741</v>
      </c>
      <c r="Y15" s="70" t="s">
        <v>282</v>
      </c>
      <c r="Z15" s="6">
        <f>S15/B15</f>
        <v>0.5123834748595093</v>
      </c>
      <c r="AB15" s="6">
        <f>S15/N15</f>
        <v>1.0436736831819877</v>
      </c>
    </row>
    <row r="16" spans="1:30">
      <c r="A16" t="s">
        <v>134</v>
      </c>
      <c r="B16" s="38">
        <v>1046687</v>
      </c>
      <c r="C16" s="38">
        <v>2321569</v>
      </c>
      <c r="D16" s="38">
        <v>2491703</v>
      </c>
      <c r="E16" s="38">
        <v>1796252</v>
      </c>
      <c r="F16" s="38">
        <v>1810517</v>
      </c>
      <c r="G16" s="38">
        <v>1774662</v>
      </c>
      <c r="H16" s="38">
        <v>1636325</v>
      </c>
      <c r="I16" s="38">
        <v>1327223</v>
      </c>
      <c r="J16" s="38">
        <v>1372524</v>
      </c>
      <c r="K16" s="38">
        <v>1343363</v>
      </c>
      <c r="L16" s="38">
        <v>2559193</v>
      </c>
      <c r="M16" s="38">
        <v>2600003</v>
      </c>
      <c r="N16" s="38">
        <v>2308441</v>
      </c>
      <c r="O16" s="38">
        <v>2455259</v>
      </c>
      <c r="P16" s="70">
        <v>2184302</v>
      </c>
      <c r="Q16" s="70">
        <v>2228792</v>
      </c>
      <c r="R16" s="38">
        <v>2273202</v>
      </c>
      <c r="S16" s="38">
        <v>2318816</v>
      </c>
      <c r="T16" s="40">
        <f t="shared" si="6"/>
        <v>19480018</v>
      </c>
      <c r="U16" s="40">
        <f t="shared" si="5"/>
        <v>24388462</v>
      </c>
      <c r="W16" s="65">
        <f>N16/B16</f>
        <v>2.2054740337846939</v>
      </c>
      <c r="X16" s="65">
        <f t="shared" ref="X16:X21" si="7">L16/B16</f>
        <v>2.4450413542921616</v>
      </c>
      <c r="Y16" s="70"/>
      <c r="Z16" s="6">
        <f>S16/B16</f>
        <v>2.2153862616044719</v>
      </c>
      <c r="AB16" s="6">
        <f>S16/N16</f>
        <v>1.0044943752082034</v>
      </c>
    </row>
    <row r="17" spans="1:28">
      <c r="A17" t="s">
        <v>92</v>
      </c>
      <c r="B17" s="38">
        <f>84589+21358</f>
        <v>105947</v>
      </c>
      <c r="C17" s="38">
        <v>15202</v>
      </c>
      <c r="D17" s="38"/>
      <c r="E17" s="38">
        <v>300000</v>
      </c>
      <c r="F17" s="38">
        <v>728579</v>
      </c>
      <c r="G17" s="38">
        <v>737731</v>
      </c>
      <c r="H17" s="38">
        <v>409135</v>
      </c>
      <c r="I17" s="38">
        <v>302483</v>
      </c>
      <c r="J17" s="38">
        <v>263322</v>
      </c>
      <c r="K17" s="38">
        <v>267164</v>
      </c>
      <c r="L17" s="38">
        <v>695157</v>
      </c>
      <c r="M17" s="38">
        <v>704792</v>
      </c>
      <c r="N17" s="38">
        <v>764836</v>
      </c>
      <c r="O17" s="38">
        <v>828368</v>
      </c>
      <c r="P17" s="70">
        <v>847429</v>
      </c>
      <c r="Q17" s="70">
        <v>695184</v>
      </c>
      <c r="R17" s="38">
        <v>713260</v>
      </c>
      <c r="S17" s="38">
        <v>731712</v>
      </c>
      <c r="T17" s="40">
        <f t="shared" si="6"/>
        <v>3824720</v>
      </c>
      <c r="U17" s="40">
        <f t="shared" si="5"/>
        <v>5294348</v>
      </c>
      <c r="W17" s="65">
        <f>N17/B17</f>
        <v>7.2190434840061544</v>
      </c>
      <c r="X17" s="65">
        <f t="shared" si="7"/>
        <v>6.5613655884546045</v>
      </c>
      <c r="Y17" s="70"/>
      <c r="Z17" s="6">
        <f>S17/B17</f>
        <v>6.9063965945236765</v>
      </c>
      <c r="AB17" s="6">
        <f>S17/N17</f>
        <v>0.95669136913011421</v>
      </c>
    </row>
    <row r="18" spans="1:28">
      <c r="A18" t="s">
        <v>109</v>
      </c>
      <c r="B18" s="38">
        <v>1612000</v>
      </c>
      <c r="C18" s="38">
        <v>1612000</v>
      </c>
      <c r="D18" s="38">
        <v>1612000</v>
      </c>
      <c r="E18" s="38">
        <v>1612000</v>
      </c>
      <c r="F18" s="38">
        <v>1612000</v>
      </c>
      <c r="G18" s="38">
        <v>0</v>
      </c>
      <c r="H18" s="38"/>
      <c r="J18" s="38"/>
      <c r="K18" s="38"/>
      <c r="L18" s="38"/>
      <c r="M18" s="38"/>
      <c r="N18" s="38"/>
      <c r="O18" s="38"/>
      <c r="P18" s="38"/>
      <c r="Q18" s="38"/>
      <c r="R18" s="38"/>
      <c r="S18" s="38"/>
      <c r="T18" s="40">
        <f t="shared" si="6"/>
        <v>8060000</v>
      </c>
      <c r="U18" s="40">
        <f t="shared" si="5"/>
        <v>8060000</v>
      </c>
      <c r="W18" s="65"/>
      <c r="X18" s="65">
        <f t="shared" si="7"/>
        <v>0</v>
      </c>
      <c r="Y18" s="70"/>
      <c r="Z18" s="6"/>
      <c r="AB18" s="6"/>
    </row>
    <row r="19" spans="1:28">
      <c r="A19" t="s">
        <v>97</v>
      </c>
      <c r="B19" s="38">
        <v>912856</v>
      </c>
      <c r="C19" s="38">
        <v>1126250</v>
      </c>
      <c r="D19" s="38">
        <v>1228089</v>
      </c>
      <c r="E19" s="38">
        <f>494369+355041</f>
        <v>849410</v>
      </c>
      <c r="F19" s="38">
        <f>370016+494079</f>
        <v>864095</v>
      </c>
      <c r="G19" s="38">
        <v>900345</v>
      </c>
      <c r="H19" s="38">
        <v>790794</v>
      </c>
      <c r="I19" s="38">
        <v>705811</v>
      </c>
      <c r="J19" s="38">
        <v>620676</v>
      </c>
      <c r="K19" s="38">
        <v>601620</v>
      </c>
      <c r="L19" s="38">
        <v>637780</v>
      </c>
      <c r="M19" s="38">
        <v>649108</v>
      </c>
      <c r="N19" s="38">
        <v>656133</v>
      </c>
      <c r="O19" s="38">
        <v>703540</v>
      </c>
      <c r="P19" s="38">
        <v>724744</v>
      </c>
      <c r="Q19" s="38">
        <v>743201</v>
      </c>
      <c r="R19" s="38">
        <v>762989</v>
      </c>
      <c r="S19" s="38">
        <v>651554</v>
      </c>
      <c r="T19" s="40">
        <f t="shared" si="6"/>
        <v>9237726</v>
      </c>
      <c r="U19" s="40">
        <f t="shared" si="5"/>
        <v>10542967</v>
      </c>
      <c r="W19" s="65">
        <f>N19/B19</f>
        <v>0.7187694444687881</v>
      </c>
      <c r="X19" s="65">
        <f t="shared" si="7"/>
        <v>0.6986644114734416</v>
      </c>
      <c r="Y19" s="70"/>
      <c r="Z19" s="6">
        <f>S19/B19</f>
        <v>0.7137533192529818</v>
      </c>
      <c r="AB19" s="6">
        <f>S19/N19</f>
        <v>0.99302123197583414</v>
      </c>
    </row>
    <row r="20" spans="1:28">
      <c r="A20" t="s">
        <v>93</v>
      </c>
      <c r="B20" s="38">
        <v>494098</v>
      </c>
      <c r="C20" s="38">
        <v>662212</v>
      </c>
      <c r="D20" s="38">
        <v>767081</v>
      </c>
      <c r="E20" s="38">
        <v>1129217</v>
      </c>
      <c r="F20" s="38">
        <v>1171255</v>
      </c>
      <c r="G20" s="38">
        <v>1293467</v>
      </c>
      <c r="H20" s="38">
        <v>830562</v>
      </c>
      <c r="I20" s="38">
        <v>783766</v>
      </c>
      <c r="J20" s="38">
        <v>747823</v>
      </c>
      <c r="K20" s="38">
        <v>734040</v>
      </c>
      <c r="L20" s="38">
        <v>958874</v>
      </c>
      <c r="M20" s="38">
        <v>978013</v>
      </c>
      <c r="N20" s="38">
        <v>1418683</v>
      </c>
      <c r="O20" s="38">
        <v>1631268</v>
      </c>
      <c r="P20" s="38">
        <v>1687587</v>
      </c>
      <c r="Q20" s="38">
        <v>1728965</v>
      </c>
      <c r="R20" s="38">
        <v>1643729</v>
      </c>
      <c r="S20" s="38">
        <v>1683554</v>
      </c>
      <c r="T20" s="40">
        <f t="shared" si="6"/>
        <v>9572395</v>
      </c>
      <c r="U20" s="40">
        <f t="shared" si="5"/>
        <v>11969091</v>
      </c>
      <c r="W20" s="65">
        <f>N20/B20</f>
        <v>2.8712583333670647</v>
      </c>
      <c r="X20" s="65">
        <f t="shared" si="7"/>
        <v>1.9406554974924002</v>
      </c>
      <c r="Y20" s="70"/>
      <c r="Z20" s="6">
        <f>S20/B20</f>
        <v>3.4073281009030598</v>
      </c>
      <c r="AB20" s="6">
        <f>S20/N20</f>
        <v>1.1867020328008442</v>
      </c>
    </row>
    <row r="21" spans="1:28">
      <c r="A21" t="s">
        <v>94</v>
      </c>
      <c r="B21" s="38">
        <v>3883112</v>
      </c>
      <c r="C21" s="38">
        <v>3445690</v>
      </c>
      <c r="D21" s="38">
        <v>3904460</v>
      </c>
      <c r="E21" s="38">
        <v>3529804</v>
      </c>
      <c r="F21" s="38">
        <v>3572262</v>
      </c>
      <c r="G21" s="38">
        <v>3703892</v>
      </c>
      <c r="H21" s="38">
        <v>3233946</v>
      </c>
      <c r="I21" s="38">
        <v>3976545</v>
      </c>
      <c r="J21" s="38">
        <v>4348955</v>
      </c>
      <c r="K21" s="38">
        <v>4674382</v>
      </c>
      <c r="L21" s="38">
        <v>4690785</v>
      </c>
      <c r="M21" s="38">
        <v>4642345</v>
      </c>
      <c r="N21" s="38">
        <v>5056849</v>
      </c>
      <c r="O21" s="38">
        <v>5693279</v>
      </c>
      <c r="P21" s="38">
        <v>6266161</v>
      </c>
      <c r="Q21" s="38">
        <v>6109564</v>
      </c>
      <c r="R21" s="38">
        <v>5774325</v>
      </c>
      <c r="S21" s="38">
        <v>5593346</v>
      </c>
      <c r="T21" s="40">
        <f t="shared" si="6"/>
        <v>42963833</v>
      </c>
      <c r="U21" s="40">
        <f t="shared" si="5"/>
        <v>52663027</v>
      </c>
      <c r="W21" s="65">
        <f>N21/B21</f>
        <v>1.3022670991720042</v>
      </c>
      <c r="X21" s="65">
        <f t="shared" si="7"/>
        <v>1.207996318416775</v>
      </c>
      <c r="Y21" s="70"/>
      <c r="Z21" s="6">
        <f>S21/B21</f>
        <v>1.4404287076963014</v>
      </c>
      <c r="AB21" s="6">
        <f>S21/N21</f>
        <v>1.1060931421919065</v>
      </c>
    </row>
    <row r="22" spans="1:28">
      <c r="A22" t="s">
        <v>386</v>
      </c>
      <c r="B22" s="38"/>
      <c r="C22" s="38"/>
      <c r="D22" s="38"/>
      <c r="E22" s="38"/>
      <c r="F22" s="38"/>
      <c r="G22" s="38"/>
      <c r="H22" s="38"/>
      <c r="I22" s="38"/>
      <c r="J22" s="38"/>
      <c r="K22" s="38"/>
      <c r="L22" s="38"/>
      <c r="M22" s="38"/>
      <c r="N22" s="38">
        <v>425090</v>
      </c>
      <c r="O22" s="38">
        <v>345469</v>
      </c>
      <c r="P22" s="38">
        <v>375687</v>
      </c>
      <c r="Q22" s="38">
        <v>397231</v>
      </c>
      <c r="R22" s="38">
        <v>410318</v>
      </c>
      <c r="S22" s="38">
        <v>414466</v>
      </c>
      <c r="T22" s="40">
        <f t="shared" si="6"/>
        <v>0</v>
      </c>
      <c r="U22" s="40">
        <f t="shared" si="5"/>
        <v>425090</v>
      </c>
      <c r="W22" s="71"/>
      <c r="X22" s="71"/>
      <c r="Y22" s="70"/>
      <c r="Z22" s="71"/>
      <c r="AB22" s="71"/>
    </row>
    <row r="23" spans="1:28">
      <c r="A23" t="s">
        <v>95</v>
      </c>
      <c r="B23" s="38">
        <v>6184121</v>
      </c>
      <c r="C23" s="38">
        <v>4198702</v>
      </c>
      <c r="D23" s="38">
        <v>3609899</v>
      </c>
      <c r="E23" s="38">
        <v>3070297</v>
      </c>
      <c r="F23" s="38">
        <v>2004952</v>
      </c>
      <c r="G23" s="38">
        <v>1399184</v>
      </c>
      <c r="H23" s="38">
        <v>1312728</v>
      </c>
      <c r="I23" s="38">
        <v>581197</v>
      </c>
      <c r="J23" s="38">
        <v>0</v>
      </c>
      <c r="K23" s="38">
        <v>397748</v>
      </c>
      <c r="L23" s="38">
        <v>4837308</v>
      </c>
      <c r="M23" s="38">
        <v>11366161</v>
      </c>
      <c r="N23" s="38">
        <v>10440429</v>
      </c>
      <c r="O23" s="38">
        <v>10819361</v>
      </c>
      <c r="P23" s="38">
        <v>14573009</v>
      </c>
      <c r="Q23" s="38">
        <v>19392101</v>
      </c>
      <c r="R23" s="38">
        <v>22506570</v>
      </c>
      <c r="S23" s="38">
        <v>25941031</v>
      </c>
      <c r="T23" s="40">
        <f t="shared" si="6"/>
        <v>27596136</v>
      </c>
      <c r="U23" s="40">
        <f t="shared" si="5"/>
        <v>49402726</v>
      </c>
      <c r="W23" s="71"/>
      <c r="X23" s="71"/>
      <c r="Y23" s="70"/>
      <c r="Z23" s="71"/>
      <c r="AB23" s="71"/>
    </row>
    <row r="24" spans="1:28">
      <c r="A24" t="s">
        <v>96</v>
      </c>
      <c r="B24" s="38"/>
      <c r="C24" s="38"/>
      <c r="D24" s="38">
        <v>3857685</v>
      </c>
      <c r="E24" s="38">
        <v>8506817</v>
      </c>
      <c r="F24" s="38">
        <v>2495192</v>
      </c>
      <c r="G24" s="38">
        <v>0</v>
      </c>
      <c r="H24" s="38"/>
      <c r="I24" s="38">
        <v>0</v>
      </c>
      <c r="J24" s="38">
        <v>0</v>
      </c>
      <c r="K24" s="38">
        <v>0</v>
      </c>
      <c r="L24" s="38">
        <v>5787980</v>
      </c>
      <c r="M24" s="38">
        <v>5447655</v>
      </c>
      <c r="N24" s="38">
        <v>4023391</v>
      </c>
      <c r="O24" s="38">
        <v>4720545</v>
      </c>
      <c r="P24" s="38">
        <v>3648632</v>
      </c>
      <c r="Q24" s="38">
        <v>235052</v>
      </c>
      <c r="R24" s="38">
        <v>1157074</v>
      </c>
      <c r="S24" s="38">
        <v>1455735</v>
      </c>
      <c r="T24" s="40">
        <f t="shared" si="6"/>
        <v>20647674</v>
      </c>
      <c r="U24" s="40">
        <f t="shared" si="5"/>
        <v>30118720</v>
      </c>
      <c r="W24" s="71"/>
      <c r="X24" s="71"/>
      <c r="Y24" s="70"/>
      <c r="Z24" s="71"/>
      <c r="AB24" s="71"/>
    </row>
    <row r="25" spans="1:28" s="1" customFormat="1">
      <c r="A25" s="1" t="s">
        <v>47</v>
      </c>
      <c r="B25" s="39">
        <f t="shared" ref="B25:H25" si="8">SUM(B4:B24)</f>
        <v>97929973</v>
      </c>
      <c r="C25" s="39">
        <f t="shared" si="8"/>
        <v>92962397</v>
      </c>
      <c r="D25" s="39">
        <f t="shared" si="8"/>
        <v>98458058</v>
      </c>
      <c r="E25" s="39">
        <f t="shared" si="8"/>
        <v>104709199</v>
      </c>
      <c r="F25" s="39">
        <f t="shared" si="8"/>
        <v>102069630</v>
      </c>
      <c r="G25" s="39">
        <f t="shared" si="8"/>
        <v>93570317</v>
      </c>
      <c r="H25" s="39">
        <f t="shared" si="8"/>
        <v>90791852</v>
      </c>
      <c r="I25" s="39">
        <f>SUM(I4:I24)</f>
        <v>97528872</v>
      </c>
      <c r="J25" s="39">
        <f>SUM(J4:J24)</f>
        <v>107924576</v>
      </c>
      <c r="K25" s="39">
        <f t="shared" ref="K25:P25" si="9">SUM(K4:K24)</f>
        <v>128787356</v>
      </c>
      <c r="L25" s="39">
        <f t="shared" si="9"/>
        <v>114088624</v>
      </c>
      <c r="M25" s="39">
        <f t="shared" si="9"/>
        <v>122263419</v>
      </c>
      <c r="N25" s="39">
        <f t="shared" si="9"/>
        <v>122991007</v>
      </c>
      <c r="O25" s="39">
        <f t="shared" si="9"/>
        <v>133391739</v>
      </c>
      <c r="P25" s="39">
        <f t="shared" si="9"/>
        <v>142466373</v>
      </c>
      <c r="Q25" s="39">
        <f t="shared" ref="Q25:S25" si="10">SUM(Q4:Q24)</f>
        <v>151856553</v>
      </c>
      <c r="R25" s="39">
        <f t="shared" si="10"/>
        <v>160257498</v>
      </c>
      <c r="S25" s="39">
        <f t="shared" si="10"/>
        <v>168304404</v>
      </c>
      <c r="T25" s="40">
        <f t="shared" si="5"/>
        <v>1251084273</v>
      </c>
      <c r="U25" s="40">
        <f t="shared" si="5"/>
        <v>1374075280</v>
      </c>
    </row>
    <row r="26" spans="1:28" s="1" customFormat="1">
      <c r="A26" s="1" t="s">
        <v>100</v>
      </c>
      <c r="B26" s="39">
        <f t="shared" ref="B26:H26" si="11">SUM(B4:B21)</f>
        <v>91745852</v>
      </c>
      <c r="C26" s="39">
        <f t="shared" si="11"/>
        <v>88763695</v>
      </c>
      <c r="D26" s="39">
        <f t="shared" si="11"/>
        <v>90990474</v>
      </c>
      <c r="E26" s="39">
        <f t="shared" si="11"/>
        <v>93132085</v>
      </c>
      <c r="F26" s="39">
        <f t="shared" si="11"/>
        <v>97569486</v>
      </c>
      <c r="G26" s="39">
        <f t="shared" si="11"/>
        <v>92171133</v>
      </c>
      <c r="H26" s="39">
        <f t="shared" si="11"/>
        <v>89479124</v>
      </c>
      <c r="I26" s="39">
        <f>SUM(I4:I21)</f>
        <v>96947675</v>
      </c>
      <c r="J26" s="39">
        <f>SUM(J4:J21)</f>
        <v>107924576</v>
      </c>
      <c r="K26" s="39">
        <f t="shared" ref="K26:P26" si="12">SUM(K4:K21)</f>
        <v>128389608</v>
      </c>
      <c r="L26" s="39">
        <f t="shared" si="12"/>
        <v>103463336</v>
      </c>
      <c r="M26" s="39">
        <f t="shared" si="12"/>
        <v>105449603</v>
      </c>
      <c r="N26" s="39">
        <f t="shared" si="12"/>
        <v>108102097</v>
      </c>
      <c r="O26" s="39">
        <f t="shared" si="12"/>
        <v>117506364</v>
      </c>
      <c r="P26" s="39">
        <f t="shared" si="12"/>
        <v>123869045</v>
      </c>
      <c r="Q26" s="39">
        <f t="shared" ref="Q26:S26" si="13">SUM(Q4:Q21)</f>
        <v>131832169</v>
      </c>
      <c r="R26" s="39">
        <f t="shared" si="13"/>
        <v>136183536</v>
      </c>
      <c r="S26" s="39">
        <f t="shared" si="13"/>
        <v>140493172</v>
      </c>
      <c r="T26" s="40">
        <f t="shared" si="5"/>
        <v>1186026647</v>
      </c>
      <c r="U26" s="40">
        <f t="shared" si="5"/>
        <v>1294128744</v>
      </c>
      <c r="W26" s="65">
        <f t="shared" ref="W26" si="14">N26/B26</f>
        <v>1.1782777601760133</v>
      </c>
      <c r="X26" s="65">
        <f>L26/B26</f>
        <v>1.1277167713260758</v>
      </c>
      <c r="Y26" s="70"/>
      <c r="Z26" s="6">
        <f t="shared" ref="Z26" si="15">S26/B26</f>
        <v>1.5313299613807063</v>
      </c>
      <c r="AA26"/>
      <c r="AB26" s="6">
        <f t="shared" ref="AB26" si="16">S26/N26</f>
        <v>1.2996341042301889</v>
      </c>
    </row>
    <row r="27" spans="1:28">
      <c r="A27" t="s">
        <v>104</v>
      </c>
      <c r="B27" s="38">
        <v>629934</v>
      </c>
      <c r="C27" s="38">
        <v>553596</v>
      </c>
      <c r="D27" s="38">
        <v>281208</v>
      </c>
      <c r="E27" s="38">
        <v>293437</v>
      </c>
      <c r="F27" s="38"/>
      <c r="G27" s="38"/>
      <c r="H27" s="38"/>
      <c r="I27" s="38"/>
      <c r="J27" s="38"/>
      <c r="K27" s="38"/>
      <c r="L27" s="38"/>
      <c r="M27" s="38"/>
      <c r="N27" s="38"/>
      <c r="O27" s="38"/>
      <c r="P27" s="38"/>
      <c r="Q27" s="38"/>
      <c r="R27" s="38"/>
      <c r="S27" s="38"/>
      <c r="T27" s="38"/>
    </row>
    <row r="28" spans="1:28">
      <c r="A28" t="s">
        <v>103</v>
      </c>
      <c r="B28" s="38"/>
      <c r="C28" s="38"/>
      <c r="D28" s="38">
        <v>71021</v>
      </c>
      <c r="E28" s="38">
        <v>59362</v>
      </c>
      <c r="F28" s="38">
        <v>54983</v>
      </c>
      <c r="G28" s="38">
        <v>56208</v>
      </c>
      <c r="H28" s="38">
        <v>7771</v>
      </c>
      <c r="I28" s="38">
        <v>0</v>
      </c>
      <c r="J28" s="38"/>
      <c r="K28" s="38"/>
      <c r="L28" s="38"/>
      <c r="M28" s="38"/>
      <c r="N28" s="38"/>
      <c r="O28" s="38"/>
      <c r="P28" s="38"/>
      <c r="Q28" s="38"/>
      <c r="R28" s="38"/>
      <c r="S28" s="38"/>
      <c r="T28" s="38"/>
    </row>
    <row r="29" spans="1:28">
      <c r="A29" t="s">
        <v>142</v>
      </c>
      <c r="B29" s="38">
        <v>1250758</v>
      </c>
      <c r="C29" s="38">
        <v>1756494</v>
      </c>
    </row>
    <row r="30" spans="1:28">
      <c r="G30" t="s">
        <v>120</v>
      </c>
    </row>
    <row r="31" spans="1:28">
      <c r="A31" s="1" t="s">
        <v>121</v>
      </c>
    </row>
    <row r="32" spans="1:28">
      <c r="A32" t="s">
        <v>122</v>
      </c>
      <c r="G32">
        <v>963333</v>
      </c>
      <c r="H32">
        <v>748345</v>
      </c>
      <c r="I32">
        <v>768688</v>
      </c>
      <c r="K32">
        <v>901103</v>
      </c>
      <c r="L32">
        <v>834503</v>
      </c>
      <c r="M32">
        <v>851109</v>
      </c>
      <c r="N32">
        <v>867638</v>
      </c>
      <c r="O32">
        <v>884521</v>
      </c>
      <c r="P32">
        <v>901982</v>
      </c>
    </row>
    <row r="33" spans="1:23">
      <c r="A33" t="s">
        <v>123</v>
      </c>
      <c r="G33">
        <v>246067</v>
      </c>
      <c r="H33">
        <v>0</v>
      </c>
      <c r="I33">
        <v>0</v>
      </c>
    </row>
    <row r="34" spans="1:23">
      <c r="A34" t="s">
        <v>124</v>
      </c>
      <c r="G34">
        <v>84067</v>
      </c>
      <c r="H34">
        <v>82217</v>
      </c>
      <c r="I34">
        <v>73226</v>
      </c>
      <c r="K34">
        <v>61750</v>
      </c>
      <c r="L34">
        <v>124371</v>
      </c>
      <c r="M34">
        <v>126904</v>
      </c>
      <c r="N34">
        <v>129481</v>
      </c>
      <c r="O34">
        <v>132115</v>
      </c>
      <c r="P34">
        <v>134808</v>
      </c>
    </row>
    <row r="37" spans="1:23" s="64" customFormat="1">
      <c r="A37" s="64" t="s">
        <v>80</v>
      </c>
      <c r="B37" s="68">
        <f>SUM(B38:B42)</f>
        <v>99810665</v>
      </c>
      <c r="C37" s="68">
        <f t="shared" ref="C37:S37" si="17">SUM(C38:C42)</f>
        <v>95272487</v>
      </c>
      <c r="D37" s="68">
        <f t="shared" si="17"/>
        <v>98810287</v>
      </c>
      <c r="E37" s="68">
        <f t="shared" si="17"/>
        <v>104669561</v>
      </c>
      <c r="F37" s="68">
        <f t="shared" si="17"/>
        <v>102125613</v>
      </c>
      <c r="G37" s="68">
        <f t="shared" si="17"/>
        <v>88616651</v>
      </c>
      <c r="H37" s="68">
        <f t="shared" si="17"/>
        <v>88590895</v>
      </c>
      <c r="I37" s="68">
        <f t="shared" si="17"/>
        <v>108353638</v>
      </c>
      <c r="J37" s="68">
        <f t="shared" si="17"/>
        <v>110128100</v>
      </c>
      <c r="K37" s="68">
        <f t="shared" si="17"/>
        <v>114212519</v>
      </c>
      <c r="L37" s="68">
        <f t="shared" si="17"/>
        <v>114088624</v>
      </c>
      <c r="M37" s="68">
        <f>SUM(M38:M43)</f>
        <v>118512571</v>
      </c>
      <c r="N37" s="68">
        <f t="shared" si="17"/>
        <v>122991007</v>
      </c>
      <c r="O37" s="68">
        <f t="shared" si="17"/>
        <v>133391739</v>
      </c>
      <c r="P37" s="68">
        <f t="shared" si="17"/>
        <v>142466373</v>
      </c>
      <c r="Q37" s="68">
        <f t="shared" si="17"/>
        <v>151856553</v>
      </c>
      <c r="R37" s="68">
        <f t="shared" si="17"/>
        <v>160257498</v>
      </c>
      <c r="S37" s="68">
        <f t="shared" si="17"/>
        <v>168434633</v>
      </c>
      <c r="T37" s="68"/>
    </row>
    <row r="38" spans="1:23">
      <c r="A38" t="s">
        <v>200</v>
      </c>
      <c r="B38" s="38">
        <v>89223604</v>
      </c>
      <c r="C38" s="38">
        <v>87512130</v>
      </c>
      <c r="D38" s="38">
        <v>87512130</v>
      </c>
      <c r="E38" s="38">
        <v>90617796</v>
      </c>
      <c r="F38" s="38">
        <v>89233082</v>
      </c>
      <c r="G38" s="38">
        <v>75813273</v>
      </c>
      <c r="H38" s="38">
        <v>80015101</v>
      </c>
      <c r="I38" s="38">
        <v>98635607</v>
      </c>
      <c r="J38" s="38">
        <v>102036530</v>
      </c>
      <c r="K38" s="38">
        <v>105643875</v>
      </c>
      <c r="L38" s="38">
        <v>105822892</v>
      </c>
      <c r="M38" s="38">
        <v>108516645</v>
      </c>
      <c r="N38" s="38">
        <v>112909870</v>
      </c>
      <c r="O38" s="38">
        <v>121921930</v>
      </c>
      <c r="P38" s="38">
        <v>129029184</v>
      </c>
      <c r="Q38" s="38">
        <v>137969863</v>
      </c>
      <c r="R38" s="38">
        <v>146011531</v>
      </c>
      <c r="S38" s="38">
        <v>153818262</v>
      </c>
      <c r="T38" s="38"/>
    </row>
    <row r="39" spans="1:23">
      <c r="A39" t="s">
        <v>201</v>
      </c>
      <c r="B39" s="38"/>
      <c r="C39" s="38"/>
      <c r="D39" s="38">
        <v>6674372</v>
      </c>
      <c r="E39" s="38">
        <v>7500000</v>
      </c>
      <c r="F39" s="38">
        <v>5775750</v>
      </c>
      <c r="G39" s="38">
        <v>6102848</v>
      </c>
      <c r="H39" s="38">
        <v>5719900</v>
      </c>
      <c r="I39" s="38">
        <v>5642942</v>
      </c>
      <c r="J39" s="38">
        <v>5584341</v>
      </c>
      <c r="K39" s="38">
        <v>5793404</v>
      </c>
      <c r="L39" s="38">
        <v>5681540</v>
      </c>
      <c r="M39" s="38">
        <v>6239530</v>
      </c>
      <c r="N39" s="38">
        <v>6401758</v>
      </c>
      <c r="O39" s="38">
        <v>5900000</v>
      </c>
      <c r="P39" s="38">
        <v>6254000</v>
      </c>
      <c r="Q39" s="38">
        <v>6504160</v>
      </c>
      <c r="R39" s="38">
        <v>6699285</v>
      </c>
      <c r="S39" s="38">
        <v>6900263</v>
      </c>
      <c r="T39" s="38"/>
    </row>
    <row r="40" spans="1:23">
      <c r="A40" t="s">
        <v>202</v>
      </c>
      <c r="B40" s="38">
        <v>13491123</v>
      </c>
      <c r="C40" s="38">
        <v>14858285</v>
      </c>
      <c r="D40" s="38">
        <v>4577305</v>
      </c>
      <c r="E40" s="38">
        <v>5882277</v>
      </c>
      <c r="F40" s="38">
        <v>6390303</v>
      </c>
      <c r="G40" s="38">
        <v>6700530</v>
      </c>
      <c r="H40" s="38">
        <v>2855894</v>
      </c>
      <c r="I40" s="38">
        <v>4075089</v>
      </c>
      <c r="J40" s="38">
        <v>2507229</v>
      </c>
      <c r="K40" s="38">
        <v>2775240</v>
      </c>
      <c r="L40" s="38">
        <v>2584192</v>
      </c>
      <c r="M40" s="38">
        <v>3756396</v>
      </c>
      <c r="N40" s="38">
        <v>3679379</v>
      </c>
      <c r="O40" s="38">
        <v>5569809</v>
      </c>
      <c r="P40" s="38">
        <v>7183189</v>
      </c>
      <c r="Q40" s="38">
        <v>7382530</v>
      </c>
      <c r="R40" s="38">
        <v>7546682</v>
      </c>
      <c r="S40" s="38">
        <v>7716108</v>
      </c>
      <c r="T40" s="38"/>
      <c r="W40" t="s">
        <v>443</v>
      </c>
    </row>
    <row r="41" spans="1:23">
      <c r="A41" t="s">
        <v>384</v>
      </c>
      <c r="B41" s="38">
        <v>1017323</v>
      </c>
      <c r="C41" s="38">
        <v>1193629</v>
      </c>
      <c r="D41" s="38">
        <v>694041</v>
      </c>
      <c r="E41" s="38">
        <v>669488</v>
      </c>
      <c r="F41" s="38">
        <v>726478</v>
      </c>
      <c r="N41" s="38"/>
      <c r="O41" s="38"/>
      <c r="P41" s="38"/>
    </row>
    <row r="42" spans="1:23">
      <c r="A42" t="s">
        <v>385</v>
      </c>
      <c r="B42" s="38">
        <v>-3921385</v>
      </c>
      <c r="C42" s="38">
        <v>-8291557</v>
      </c>
      <c r="D42" s="38">
        <v>-647561</v>
      </c>
    </row>
    <row r="43" spans="1:23">
      <c r="M43" t="s">
        <v>230</v>
      </c>
    </row>
    <row r="44" spans="1:23">
      <c r="A44" t="s">
        <v>387</v>
      </c>
    </row>
  </sheetData>
  <pageMargins left="0.7" right="0.7" top="0.75" bottom="0.75" header="0.3" footer="0.3"/>
  <ignoredErrors>
    <ignoredError sqref="P26:S26" formulaRange="1"/>
  </ignoredError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6EB6-A6BA-A34D-8BC8-8DC771A53C1F}">
  <dimension ref="A2:C14"/>
  <sheetViews>
    <sheetView workbookViewId="0">
      <selection activeCell="B8" sqref="B8"/>
    </sheetView>
  </sheetViews>
  <sheetFormatPr baseColWidth="10" defaultRowHeight="16"/>
  <cols>
    <col min="1" max="1" width="36.1640625" customWidth="1"/>
    <col min="2" max="2" width="11.6640625" bestFit="1" customWidth="1"/>
  </cols>
  <sheetData>
    <row r="2" spans="1:3">
      <c r="A2" t="s">
        <v>338</v>
      </c>
    </row>
    <row r="3" spans="1:3" s="8" customFormat="1" ht="17" customHeight="1">
      <c r="B3" s="8">
        <v>2020</v>
      </c>
      <c r="C3" s="8" t="s">
        <v>0</v>
      </c>
    </row>
    <row r="4" spans="1:3">
      <c r="A4" t="str">
        <f>'Waste stats'!B31</f>
        <v xml:space="preserve">GJ in from BC Hydro </v>
      </c>
      <c r="B4">
        <f>'Waste stats'!M31</f>
        <v>73965</v>
      </c>
    </row>
    <row r="5" spans="1:3">
      <c r="A5" t="str">
        <f>'Waste stats'!B32</f>
        <v>GJ in from Fortis NG</v>
      </c>
      <c r="B5">
        <f>'Waste stats'!M32</f>
        <v>70259</v>
      </c>
    </row>
    <row r="6" spans="1:3" ht="34">
      <c r="A6" s="67" t="s">
        <v>340</v>
      </c>
      <c r="B6">
        <f>1279*12</f>
        <v>15348</v>
      </c>
      <c r="C6" t="s">
        <v>339</v>
      </c>
    </row>
    <row r="7" spans="1:3" ht="34">
      <c r="A7" s="67" t="s">
        <v>341</v>
      </c>
      <c r="B7" s="3">
        <f>B6*0.0036</f>
        <v>55.252800000000001</v>
      </c>
      <c r="C7" t="s">
        <v>344</v>
      </c>
    </row>
    <row r="8" spans="1:3">
      <c r="A8" t="s">
        <v>342</v>
      </c>
      <c r="B8" s="3">
        <f>B4/B7</f>
        <v>1338.6651898184346</v>
      </c>
    </row>
    <row r="9" spans="1:3">
      <c r="A9" t="s">
        <v>343</v>
      </c>
      <c r="B9" s="3">
        <f>B5/B7</f>
        <v>1271.5916659427214</v>
      </c>
    </row>
    <row r="10" spans="1:3">
      <c r="A10" t="s">
        <v>345</v>
      </c>
      <c r="B10" s="103">
        <f>SUM(B8:B9)</f>
        <v>2610.2568557611557</v>
      </c>
    </row>
    <row r="12" spans="1:3">
      <c r="A12" t="s">
        <v>378</v>
      </c>
    </row>
    <row r="14" spans="1:3">
      <c r="C14"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B689-FFD9-F646-B924-F569038514F3}">
  <dimension ref="A2:P27"/>
  <sheetViews>
    <sheetView tabSelected="1" workbookViewId="0">
      <selection activeCell="A17" sqref="A17"/>
    </sheetView>
  </sheetViews>
  <sheetFormatPr baseColWidth="10" defaultRowHeight="16"/>
  <cols>
    <col min="1" max="1" width="22" customWidth="1"/>
    <col min="5" max="5" width="11.33203125" bestFit="1" customWidth="1"/>
    <col min="10" max="10" width="11.33203125" bestFit="1" customWidth="1"/>
    <col min="13" max="13" width="53.83203125" customWidth="1"/>
    <col min="14" max="14" width="16.83203125" customWidth="1"/>
  </cols>
  <sheetData>
    <row r="2" spans="1:16">
      <c r="B2" s="130">
        <v>2018</v>
      </c>
      <c r="C2" s="130"/>
      <c r="D2" s="130"/>
      <c r="E2" s="130"/>
      <c r="F2" s="130"/>
      <c r="G2" s="131">
        <v>2022</v>
      </c>
      <c r="H2" s="131"/>
      <c r="I2" s="131"/>
      <c r="J2" s="131"/>
      <c r="K2" s="131"/>
      <c r="L2" s="131"/>
    </row>
    <row r="3" spans="1:16" s="22" customFormat="1" ht="153">
      <c r="A3" s="22" t="s">
        <v>210</v>
      </c>
      <c r="B3" s="22" t="s">
        <v>153</v>
      </c>
      <c r="C3" s="22" t="s">
        <v>154</v>
      </c>
      <c r="D3" s="22" t="s">
        <v>155</v>
      </c>
      <c r="E3" s="22" t="s">
        <v>156</v>
      </c>
      <c r="F3" s="22" t="s">
        <v>157</v>
      </c>
      <c r="G3" s="22" t="s">
        <v>153</v>
      </c>
      <c r="H3" s="22" t="s">
        <v>154</v>
      </c>
      <c r="I3" s="22" t="s">
        <v>155</v>
      </c>
      <c r="J3" s="22" t="s">
        <v>156</v>
      </c>
      <c r="K3" s="22" t="s">
        <v>157</v>
      </c>
      <c r="L3" s="22" t="s">
        <v>220</v>
      </c>
      <c r="M3" s="22" t="s">
        <v>158</v>
      </c>
      <c r="N3" s="22" t="s">
        <v>159</v>
      </c>
      <c r="O3" s="22" t="s">
        <v>160</v>
      </c>
      <c r="P3" s="22" t="s">
        <v>161</v>
      </c>
    </row>
    <row r="4" spans="1:16">
      <c r="A4" s="54" t="s">
        <v>162</v>
      </c>
      <c r="B4" s="55">
        <v>0.18099999999999999</v>
      </c>
      <c r="C4" s="53">
        <f>B4*253126</f>
        <v>45815.805999999997</v>
      </c>
      <c r="D4" s="56">
        <f>'Energy by materials'!B3</f>
        <v>16.467649425015381</v>
      </c>
      <c r="E4" s="53">
        <f>C4*D4</f>
        <v>754478.6313325162</v>
      </c>
      <c r="F4" s="55">
        <f>E4/$E$16</f>
        <v>0.2231003245938212</v>
      </c>
      <c r="G4" s="55">
        <v>0.17199999999999999</v>
      </c>
      <c r="H4" s="53">
        <f>G4*253126</f>
        <v>43537.671999999999</v>
      </c>
      <c r="I4" s="56">
        <f>'Energy by materials'!B3</f>
        <v>16.467649425015381</v>
      </c>
      <c r="J4" s="53">
        <f>H4*I4</f>
        <v>716963.11927730823</v>
      </c>
      <c r="K4" s="55">
        <f>J4/$J$16</f>
        <v>0.21348614558775966</v>
      </c>
      <c r="L4" s="55">
        <f>G4-0.024</f>
        <v>0.14799999999999999</v>
      </c>
      <c r="M4" t="s">
        <v>163</v>
      </c>
      <c r="N4" t="s">
        <v>164</v>
      </c>
      <c r="O4" s="53">
        <f>E4*0.8</f>
        <v>603582.90506601299</v>
      </c>
      <c r="P4" s="53">
        <f t="shared" ref="P4:P10" si="0">E4*0.1</f>
        <v>75447.863133251623</v>
      </c>
    </row>
    <row r="5" spans="1:16">
      <c r="A5" s="54" t="s">
        <v>165</v>
      </c>
      <c r="B5" s="55">
        <v>0.16400000000000001</v>
      </c>
      <c r="C5" s="53">
        <f t="shared" ref="C5:C15" si="1">B5*253126</f>
        <v>41512.664000000004</v>
      </c>
      <c r="D5" s="56">
        <f>'Energy by materials'!B4</f>
        <v>36.794092074462156</v>
      </c>
      <c r="E5" s="53">
        <f t="shared" ref="E5:E10" si="2">C5*D5</f>
        <v>1527420.7814722105</v>
      </c>
      <c r="F5" s="57">
        <f t="shared" ref="F5:F10" si="3">E5/$E$16</f>
        <v>0.45166033600706956</v>
      </c>
      <c r="G5" s="55">
        <v>0.156</v>
      </c>
      <c r="H5" s="53">
        <f t="shared" ref="H5:H15" si="4">G5*253126</f>
        <v>39487.656000000003</v>
      </c>
      <c r="I5" s="56">
        <f>'Energy by materials'!B4</f>
        <v>36.794092074462156</v>
      </c>
      <c r="J5" s="53">
        <f t="shared" ref="J5:J10" si="5">H5*I5</f>
        <v>1452912.4506686882</v>
      </c>
      <c r="K5" s="55">
        <f t="shared" ref="K5:K10" si="6">J5/$J$16</f>
        <v>0.43262571062564453</v>
      </c>
      <c r="L5" s="57">
        <f>G5-0.05</f>
        <v>0.106</v>
      </c>
      <c r="M5" t="s">
        <v>163</v>
      </c>
      <c r="N5" t="s">
        <v>164</v>
      </c>
      <c r="O5" s="53">
        <f>E5*0.8</f>
        <v>1221936.6251777685</v>
      </c>
      <c r="P5" s="53">
        <f t="shared" si="0"/>
        <v>152742.07814722107</v>
      </c>
    </row>
    <row r="6" spans="1:16">
      <c r="A6" s="54" t="s">
        <v>166</v>
      </c>
      <c r="B6" s="55">
        <v>0.26</v>
      </c>
      <c r="C6" s="53">
        <f t="shared" si="1"/>
        <v>65812.760000000009</v>
      </c>
      <c r="D6" s="56">
        <f>'Energy by materials'!B5</f>
        <v>4.7594914779920314</v>
      </c>
      <c r="E6" s="53">
        <f t="shared" si="2"/>
        <v>313235.27036313491</v>
      </c>
      <c r="F6" s="55">
        <f t="shared" si="3"/>
        <v>9.2624081836255132E-2</v>
      </c>
      <c r="G6" s="55">
        <v>0.253</v>
      </c>
      <c r="H6" s="53">
        <f t="shared" si="4"/>
        <v>64040.878000000004</v>
      </c>
      <c r="I6" s="56">
        <f>'Energy by materials'!B5</f>
        <v>4.7594914779920314</v>
      </c>
      <c r="J6" s="53">
        <f t="shared" si="5"/>
        <v>304802.01308412739</v>
      </c>
      <c r="K6" s="55">
        <f t="shared" si="6"/>
        <v>9.0759210887041419E-2</v>
      </c>
      <c r="L6" s="55">
        <f>G6</f>
        <v>0.253</v>
      </c>
      <c r="M6" t="s">
        <v>167</v>
      </c>
      <c r="N6" t="s">
        <v>168</v>
      </c>
      <c r="O6" s="53">
        <f>E6*0.5</f>
        <v>156617.63518156746</v>
      </c>
      <c r="P6" s="53">
        <f t="shared" si="0"/>
        <v>31323.527036313491</v>
      </c>
    </row>
    <row r="7" spans="1:16">
      <c r="A7" s="54" t="s">
        <v>169</v>
      </c>
      <c r="B7" s="55">
        <v>0.16400000000000001</v>
      </c>
      <c r="C7" s="53">
        <f t="shared" si="1"/>
        <v>41512.664000000004</v>
      </c>
      <c r="D7" s="56">
        <f>'Energy by materials'!B6</f>
        <v>18.028249244361778</v>
      </c>
      <c r="E7" s="53">
        <f t="shared" si="2"/>
        <v>748400.65338944446</v>
      </c>
      <c r="F7" s="55">
        <f t="shared" si="3"/>
        <v>0.2213030585140934</v>
      </c>
      <c r="G7" s="55">
        <v>0.185</v>
      </c>
      <c r="H7" s="53">
        <f t="shared" si="4"/>
        <v>46828.31</v>
      </c>
      <c r="I7" s="56">
        <f>'Energy by materials'!B6</f>
        <v>18.028249244361778</v>
      </c>
      <c r="J7" s="53">
        <f t="shared" si="5"/>
        <v>844232.44437223906</v>
      </c>
      <c r="K7" s="55">
        <f t="shared" si="6"/>
        <v>0.25138242914200948</v>
      </c>
      <c r="L7" s="55"/>
      <c r="M7" t="s">
        <v>170</v>
      </c>
      <c r="N7" t="s">
        <v>168</v>
      </c>
      <c r="O7" s="53">
        <f>E7*0.5</f>
        <v>374200.32669472223</v>
      </c>
      <c r="P7" s="53">
        <f t="shared" si="0"/>
        <v>74840.065338944449</v>
      </c>
    </row>
    <row r="8" spans="1:16">
      <c r="A8" s="58" t="s">
        <v>171</v>
      </c>
      <c r="B8" s="55">
        <v>3.7999999999999999E-2</v>
      </c>
      <c r="C8" s="53">
        <f t="shared" si="1"/>
        <v>9618.7880000000005</v>
      </c>
      <c r="D8" s="56">
        <f>'Energy by materials'!B7</f>
        <v>0.69998362802881464</v>
      </c>
      <c r="E8" s="53">
        <f t="shared" si="2"/>
        <v>6732.9941214800265</v>
      </c>
      <c r="F8" s="55">
        <f t="shared" si="3"/>
        <v>1.9909552260446448E-3</v>
      </c>
      <c r="G8" s="55">
        <v>3.1E-2</v>
      </c>
      <c r="H8" s="53">
        <f t="shared" si="4"/>
        <v>7846.9059999999999</v>
      </c>
      <c r="I8" s="56">
        <f>'Energy by materials'!B7</f>
        <v>0.69998362802881464</v>
      </c>
      <c r="J8" s="53">
        <f t="shared" si="5"/>
        <v>5492.7057306810739</v>
      </c>
      <c r="K8" s="55">
        <f t="shared" si="6"/>
        <v>1.6355326288929443E-3</v>
      </c>
      <c r="L8" s="55">
        <f>G8-0.02</f>
        <v>1.0999999999999999E-2</v>
      </c>
      <c r="M8" t="s">
        <v>163</v>
      </c>
      <c r="N8" t="s">
        <v>164</v>
      </c>
      <c r="O8" s="53">
        <f>E8*0.8</f>
        <v>5386.3952971840217</v>
      </c>
      <c r="P8" s="53">
        <f t="shared" si="0"/>
        <v>673.29941214800272</v>
      </c>
    </row>
    <row r="9" spans="1:16">
      <c r="A9" s="58" t="s">
        <v>172</v>
      </c>
      <c r="B9" s="55">
        <v>2.4E-2</v>
      </c>
      <c r="C9" s="53">
        <f t="shared" si="1"/>
        <v>6075.0240000000003</v>
      </c>
      <c r="D9" s="56">
        <f>'Energy by materials'!B8</f>
        <v>0.20004167534903106</v>
      </c>
      <c r="E9" s="53">
        <f t="shared" si="2"/>
        <v>1215.257978745572</v>
      </c>
      <c r="F9" s="55">
        <f t="shared" si="3"/>
        <v>3.5935338426288364E-4</v>
      </c>
      <c r="G9" s="55">
        <v>0.04</v>
      </c>
      <c r="H9" s="53">
        <f t="shared" si="4"/>
        <v>10125.040000000001</v>
      </c>
      <c r="I9" s="56">
        <f>'Energy by materials'!B8</f>
        <v>0.20004167534903106</v>
      </c>
      <c r="J9" s="53">
        <f t="shared" si="5"/>
        <v>2025.4299645759536</v>
      </c>
      <c r="K9" s="55">
        <f t="shared" si="6"/>
        <v>6.0310108660976752E-4</v>
      </c>
      <c r="L9" s="55">
        <f>G9-0.03</f>
        <v>1.0000000000000002E-2</v>
      </c>
      <c r="M9" t="s">
        <v>163</v>
      </c>
      <c r="N9" t="s">
        <v>164</v>
      </c>
      <c r="O9" s="53">
        <f>E9*0.8</f>
        <v>972.20638299645771</v>
      </c>
      <c r="P9" s="53">
        <f t="shared" si="0"/>
        <v>121.52579787455721</v>
      </c>
    </row>
    <row r="10" spans="1:16">
      <c r="A10" s="58" t="s">
        <v>173</v>
      </c>
      <c r="B10" s="55">
        <v>5.6000000000000001E-2</v>
      </c>
      <c r="C10" s="53">
        <f t="shared" si="1"/>
        <v>14175.056</v>
      </c>
      <c r="D10" s="56">
        <f>'Energy by materials'!B9</f>
        <v>2.1380683703949552</v>
      </c>
      <c r="E10" s="53">
        <f t="shared" si="2"/>
        <v>30307.238882177233</v>
      </c>
      <c r="F10" s="55">
        <f t="shared" si="3"/>
        <v>8.9618904384533137E-3</v>
      </c>
      <c r="G10" s="55">
        <v>5.8999999999999997E-2</v>
      </c>
      <c r="H10" s="53">
        <f t="shared" si="4"/>
        <v>14934.433999999999</v>
      </c>
      <c r="I10" s="56">
        <f>'Energy by materials'!B9</f>
        <v>2.1380683703949552</v>
      </c>
      <c r="J10" s="53">
        <f t="shared" si="5"/>
        <v>31930.840965151012</v>
      </c>
      <c r="K10" s="55">
        <f t="shared" si="6"/>
        <v>9.5078700420421752E-3</v>
      </c>
      <c r="L10" s="55">
        <f>G10-0.038</f>
        <v>2.0999999999999998E-2</v>
      </c>
      <c r="M10" t="s">
        <v>170</v>
      </c>
      <c r="N10" t="s">
        <v>174</v>
      </c>
      <c r="O10" s="53">
        <f>E10*0.9</f>
        <v>27276.51499395951</v>
      </c>
      <c r="P10" s="53">
        <f t="shared" si="0"/>
        <v>3030.7238882177235</v>
      </c>
    </row>
    <row r="11" spans="1:16">
      <c r="A11" s="58" t="s">
        <v>175</v>
      </c>
      <c r="B11" s="55">
        <v>0.01</v>
      </c>
      <c r="C11" s="53">
        <f t="shared" si="1"/>
        <v>2531.2600000000002</v>
      </c>
      <c r="G11" s="55">
        <v>1.4E-2</v>
      </c>
      <c r="H11" s="53">
        <f t="shared" si="4"/>
        <v>3543.7640000000001</v>
      </c>
      <c r="L11" s="63">
        <f>G11</f>
        <v>1.4E-2</v>
      </c>
      <c r="M11" t="s">
        <v>176</v>
      </c>
      <c r="O11" s="53"/>
    </row>
    <row r="12" spans="1:16">
      <c r="A12" s="58" t="s">
        <v>177</v>
      </c>
      <c r="B12" s="55">
        <v>8.9999999999999993E-3</v>
      </c>
      <c r="C12" s="53">
        <f t="shared" si="1"/>
        <v>2278.134</v>
      </c>
      <c r="G12" s="55">
        <v>7.0000000000000001E-3</v>
      </c>
      <c r="H12" s="53">
        <f t="shared" si="4"/>
        <v>1771.8820000000001</v>
      </c>
      <c r="L12" s="63">
        <f>G12</f>
        <v>7.0000000000000001E-3</v>
      </c>
      <c r="M12" t="s">
        <v>176</v>
      </c>
      <c r="O12" s="53"/>
    </row>
    <row r="13" spans="1:16">
      <c r="A13" s="58" t="s">
        <v>178</v>
      </c>
      <c r="B13" s="55">
        <v>7.3999999999999996E-2</v>
      </c>
      <c r="C13" s="53">
        <f t="shared" si="1"/>
        <v>18731.324000000001</v>
      </c>
      <c r="G13" s="55">
        <v>7.0000000000000007E-2</v>
      </c>
      <c r="H13" s="53">
        <f t="shared" si="4"/>
        <v>17718.820000000003</v>
      </c>
      <c r="M13" t="s">
        <v>179</v>
      </c>
      <c r="O13" s="53"/>
    </row>
    <row r="14" spans="1:16">
      <c r="A14" s="58" t="s">
        <v>180</v>
      </c>
      <c r="B14" s="55">
        <v>5.0000000000000001E-3</v>
      </c>
      <c r="C14" s="53">
        <f t="shared" si="1"/>
        <v>1265.6300000000001</v>
      </c>
      <c r="G14" s="55">
        <v>4.0000000000000001E-3</v>
      </c>
      <c r="H14" s="53">
        <f t="shared" si="4"/>
        <v>1012.504</v>
      </c>
      <c r="L14" s="63">
        <f>G14</f>
        <v>4.0000000000000001E-3</v>
      </c>
      <c r="M14" t="s">
        <v>181</v>
      </c>
    </row>
    <row r="15" spans="1:16">
      <c r="A15" s="58" t="s">
        <v>182</v>
      </c>
      <c r="B15" s="55">
        <v>1.4999999999999999E-2</v>
      </c>
      <c r="C15" s="53">
        <f t="shared" si="1"/>
        <v>3796.89</v>
      </c>
      <c r="G15" s="55">
        <v>0.01</v>
      </c>
      <c r="H15" s="53">
        <f t="shared" si="4"/>
        <v>2531.2600000000002</v>
      </c>
      <c r="M15" t="s">
        <v>183</v>
      </c>
    </row>
    <row r="16" spans="1:16" s="1" customFormat="1">
      <c r="A16" s="59" t="s">
        <v>8</v>
      </c>
      <c r="B16" s="60">
        <f>SUM(B4:B15)</f>
        <v>1</v>
      </c>
      <c r="C16" s="61">
        <f>SUM(C4:C15)</f>
        <v>253126.00000000006</v>
      </c>
      <c r="E16" s="61">
        <f>SUM(E4:E15)</f>
        <v>3381790.8275397085</v>
      </c>
      <c r="F16" s="60">
        <f>SUM(F4:F15)</f>
        <v>1.0000000000000002</v>
      </c>
      <c r="G16" s="60">
        <f>SUM(G4:G15)</f>
        <v>1.0010000000000001</v>
      </c>
      <c r="H16" s="61">
        <f>SUM(H4:H15)</f>
        <v>253379.12600000002</v>
      </c>
      <c r="J16" s="61">
        <f>SUM(J4:J15)</f>
        <v>3358359.0040627709</v>
      </c>
      <c r="K16" s="60">
        <f>SUM(K4:K15)</f>
        <v>0.99999999999999989</v>
      </c>
      <c r="L16" s="60">
        <f>SUM(L4:L15)</f>
        <v>0.57400000000000007</v>
      </c>
      <c r="O16" s="61">
        <f>SUM(O4:O15)</f>
        <v>2389972.6087942109</v>
      </c>
      <c r="P16" s="61">
        <f>SUM(P4:P15)</f>
        <v>338179.08275397087</v>
      </c>
    </row>
    <row r="17" spans="1:16">
      <c r="A17" s="8" t="s">
        <v>442</v>
      </c>
      <c r="E17" s="61"/>
      <c r="F17" s="62">
        <f>F4+F6+F7</f>
        <v>0.53702746494416975</v>
      </c>
      <c r="J17" s="61"/>
      <c r="K17" s="62">
        <f>K4+K6+K7</f>
        <v>0.55562778561681059</v>
      </c>
      <c r="O17" s="61"/>
      <c r="P17" s="61"/>
    </row>
    <row r="18" spans="1:16">
      <c r="D18" t="s">
        <v>184</v>
      </c>
      <c r="E18" s="61">
        <f>E16/C16</f>
        <v>13.360108513308422</v>
      </c>
      <c r="F18" t="s">
        <v>206</v>
      </c>
      <c r="I18" t="s">
        <v>184</v>
      </c>
      <c r="J18" s="61">
        <f>J16/H16</f>
        <v>13.254284427766045</v>
      </c>
      <c r="K18" t="s">
        <v>206</v>
      </c>
      <c r="O18" s="61" t="s">
        <v>185</v>
      </c>
      <c r="P18" s="61" t="s">
        <v>185</v>
      </c>
    </row>
    <row r="19" spans="1:16">
      <c r="A19" s="58"/>
      <c r="E19" s="61">
        <f>E18*1000/1000</f>
        <v>13.360108513308422</v>
      </c>
      <c r="F19" s="63" t="s">
        <v>207</v>
      </c>
      <c r="J19" s="61">
        <f>J18*1000/1000</f>
        <v>13.254284427766045</v>
      </c>
      <c r="K19" s="63" t="s">
        <v>207</v>
      </c>
      <c r="L19" s="63"/>
      <c r="M19" t="s">
        <v>208</v>
      </c>
      <c r="O19" s="61"/>
      <c r="P19" s="61"/>
    </row>
    <row r="20" spans="1:16">
      <c r="A20" s="58" t="s">
        <v>186</v>
      </c>
    </row>
    <row r="21" spans="1:16">
      <c r="A21" t="s">
        <v>187</v>
      </c>
    </row>
    <row r="22" spans="1:16">
      <c r="A22" t="s">
        <v>221</v>
      </c>
    </row>
    <row r="23" spans="1:16">
      <c r="A23" t="s">
        <v>188</v>
      </c>
    </row>
    <row r="24" spans="1:16">
      <c r="A24" t="s">
        <v>189</v>
      </c>
    </row>
    <row r="26" spans="1:16">
      <c r="A26" t="s">
        <v>205</v>
      </c>
    </row>
    <row r="27" spans="1:16">
      <c r="B27" t="s">
        <v>308</v>
      </c>
      <c r="G27" t="s">
        <v>209</v>
      </c>
    </row>
  </sheetData>
  <mergeCells count="2">
    <mergeCell ref="B2:F2"/>
    <mergeCell ref="G2:L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46AA-17E8-5A43-AC83-73812F8E4B7A}">
  <sheetPr>
    <tabColor theme="5" tint="0.39997558519241921"/>
  </sheetPr>
  <dimension ref="A1"/>
  <sheetViews>
    <sheetView workbookViewId="0">
      <selection activeCell="E11" sqref="E11"/>
    </sheetView>
  </sheetViews>
  <sheetFormatPr baseColWidth="10" defaultRowHeight="16"/>
  <sheetData>
    <row r="1" spans="1:1">
      <c r="A1" t="s">
        <v>454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Waste stats</vt:lpstr>
      <vt:lpstr>GHG comparisons</vt:lpstr>
      <vt:lpstr>Biogenic LF emissions</vt:lpstr>
      <vt:lpstr>waste charts</vt:lpstr>
      <vt:lpstr>Costs-capital</vt:lpstr>
      <vt:lpstr>Costs -operating</vt:lpstr>
      <vt:lpstr>Homes</vt:lpstr>
      <vt:lpstr>Energy in waste</vt:lpstr>
      <vt:lpstr>For info only</vt:lpstr>
      <vt:lpstr>Costs -operating WTE only</vt:lpstr>
      <vt:lpstr>Energy by materials</vt:lpstr>
      <vt:lpstr>Waste split -source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Maxwell</dc:creator>
  <cp:lastModifiedBy>Sue Maxwell</cp:lastModifiedBy>
  <dcterms:created xsi:type="dcterms:W3CDTF">2020-09-14T20:21:37Z</dcterms:created>
  <dcterms:modified xsi:type="dcterms:W3CDTF">2024-01-11T23:40:02Z</dcterms:modified>
</cp:coreProperties>
</file>